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4" sheetId="4" r:id="rId4"/>
    <sheet name="приложение 5" sheetId="5" r:id="rId5"/>
    <sheet name="приложение6" sheetId="6" r:id="rId6"/>
    <sheet name="приложение 7" sheetId="7" r:id="rId7"/>
    <sheet name="приложение 8" sheetId="8" r:id="rId8"/>
    <sheet name="приложение 9" sheetId="9" r:id="rId9"/>
  </sheets>
  <definedNames/>
  <calcPr fullCalcOnLoad="1"/>
</workbook>
</file>

<file path=xl/sharedStrings.xml><?xml version="1.0" encoding="utf-8"?>
<sst xmlns="http://schemas.openxmlformats.org/spreadsheetml/2006/main" count="5913" uniqueCount="777">
  <si>
    <t>Приложение № 1</t>
  </si>
  <si>
    <t>к проекту решенияРайонного</t>
  </si>
  <si>
    <t>Совета депутатов</t>
  </si>
  <si>
    <t>муниципального образования</t>
  </si>
  <si>
    <t>"Ленский район"</t>
  </si>
  <si>
    <t xml:space="preserve"> № 4-8</t>
  </si>
  <si>
    <t xml:space="preserve"> от 02 декабря 2021 г.</t>
  </si>
  <si>
    <t>Прогнозируемые доходы   бюджета муниципального образования «Ленский район» по группам, подгруппам, статьям, подстатьям и элементам видов доходов, подвидам доходов, группам, статьям и подстатьям кода операций сектора государственного управления  на 2021 год и на плановый период 2022 и 2023 годов</t>
  </si>
  <si>
    <t>КБК</t>
  </si>
  <si>
    <t>Наименование</t>
  </si>
  <si>
    <t>Сумма на 2021 год</t>
  </si>
  <si>
    <t>Сумма на 2022 год</t>
  </si>
  <si>
    <t>Сумма на 2023 год</t>
  </si>
  <si>
    <t>182 1 01 02000 01 0000 110</t>
  </si>
  <si>
    <t>Налог на доходы физических лиц</t>
  </si>
  <si>
    <t>182 1 01 02010 01 0000 110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</si>
  <si>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</si>
  <si>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</si>
  <si>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</si>
  <si>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</si>
  <si>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</si>
  <si>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</si>
  <si>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</si>
  <si>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000 1 03 00000 00 0000 000</t>
  </si>
  <si>
    <t>НАЛОГИ НА ТОВАРЫ (РАБОТЫ, УСЛУГИ), РЕАЛИЗУЕМЫЕ НА ТЕРРИТОРИИ РОССИЙСКОЙ ФЕДЕРАЦИИ</t>
  </si>
  <si>
    <t xml:space="preserve">100 1 03 02231 01 0000 110
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</si>
  <si>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</si>
  <si>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100 1 03 02241 01 0000 110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</si>
  <si>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</si>
  <si>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100 1 03 02251 01 0000 110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</si>
  <si>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</si>
  <si>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100 1 03 02261 01 0000 110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</si>
  <si>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</si>
  <si>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</si>
  <si>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</si>
  <si>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</si>
  <si>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</si>
  <si>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182 1 05 01011 01 0000 110</t>
  </si>
  <si>
    <t xml:space="preserve">Налог, взимаемый с налогоплательщиков, выбравших в качестве объекта налогообложения доходы
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</si>
  <si>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</si>
  <si>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</si>
  <si>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182 1 05 03010 01 0000 110</t>
  </si>
  <si>
    <t xml:space="preserve">Единый сельскохозяйственный налог
</t>
  </si>
  <si>
    <t xml:space="preserve">182 1 05 04020 02 0000 110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</si>
  <si>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 
</t>
  </si>
  <si>
    <t>182 1 06 00000 00 0000 000</t>
  </si>
  <si>
    <t>НАЛОГИ НА ИМУЩЕСТВО</t>
  </si>
  <si>
    <t>000 1 06 06033 05 0000 110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</si>
  <si>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</si>
  <si>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>000 1 06 06043 05 0000 110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</si>
  <si>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</si>
  <si>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</si>
  <si>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</si>
  <si>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</si>
  <si>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 xml:space="preserve">Налог на добычу общераспространенных полезных ископаемых
</t>
  </si>
  <si>
    <t>000 1 08 0000000 0000 000</t>
  </si>
  <si>
    <t>ГОСУДАРСТВЕННАЯ ПОШЛИНА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</si>
  <si>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</si>
  <si>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</si>
  <si>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000 1 08 07150 01 0000 110</t>
  </si>
  <si>
    <t xml:space="preserve">Государственная пошлина за выдачу разрешения на установку рекламной конструкции
</t>
  </si>
  <si>
    <t>000 1 11 0000000 0000 000</t>
  </si>
  <si>
    <t xml:space="preserve">ДОХОДЫ ОТ ИСПОЛЬЗОВАНИЯ ИМУЩЕСТВА, НАХОДЯЩЕГОСЯ В ГОСУДАРСТВЕННОЙ И МУНИЦИПАЛЬНОЙ СОБСТВЕННОСТИ
</t>
  </si>
  <si>
    <t>701 1 11 01050 05 0000 120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</si>
  <si>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</si>
  <si>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</si>
  <si>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</si>
  <si>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</si>
  <si>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</si>
  <si>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</si>
  <si>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</si>
  <si>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701 1 11 05025 05 0000 120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</si>
  <si>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</si>
  <si>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701 1 11 05035 05 0000 120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</si>
  <si>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</si>
  <si>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701 1 11 05075 05 0000 120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</si>
  <si>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</si>
  <si>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000 112 0000000 0000 000</t>
  </si>
  <si>
    <t>ПЛАТЕЖИ ПРИ ПОЛЬЗОВАНИИ ПРИРОДНЫМИ РЕСУРСАМИ</t>
  </si>
  <si>
    <t>048 1 12 01010 01 0000 120</t>
  </si>
  <si>
    <t xml:space="preserve">Плата за выбросы загрязняющих веществ в атмосферный воздух стационарными объектами 
</t>
  </si>
  <si>
    <t>048 1 12 01030 01 0000 120</t>
  </si>
  <si>
    <t xml:space="preserve">Плата за сбросы загрязняющих веществ в водные объекты
</t>
  </si>
  <si>
    <t>048 1 12 01040 01 0000 120</t>
  </si>
  <si>
    <t xml:space="preserve">Плата за размещение отходов производства и потребления
</t>
  </si>
  <si>
    <t>000 113 00000 00 0000 000</t>
  </si>
  <si>
    <t>ПРОЧИЕ ДОХОДЫ ОТ ОКАЗАНИЯ ПЛАТНЫХ УСЛУГ (РАБОТ) ПОЛУЧАТЕЛЯМИ СРЕДСТВ БЮДЖЕТОВ МУНИЦИПАЛЬНЫХ РАЙОНОВ</t>
  </si>
  <si>
    <t>701 1 13 01000 00 0000 130</t>
  </si>
  <si>
    <t xml:space="preserve">Доходы от оказания платных услуг (работ)
</t>
  </si>
  <si>
    <t>701 1 13 01995 05 0014 130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</si>
  <si>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"Ёлочка" СОШ с.Толон)</t>
  </si>
  <si>
    <t>701 1 13 01995 05 0016 130</t>
  </si>
  <si>
    <t>Прочие доходы от оказания платных услуг (работ) получателями средств бюджетов муниципальных районов  (Дошкольная группа ООШ ООШ с.Дорожный)</t>
  </si>
  <si>
    <t>701 1 13 01995 05 0017 130</t>
  </si>
  <si>
    <t>Прочие доходы от оказания платных услуг (работ) получателями средств бюджетов муниципальных районов (МКДОУ "Золотой ключик")</t>
  </si>
  <si>
    <t>701 1 13 01995 05 0021 130</t>
  </si>
  <si>
    <t>Прочие доходы от оказания платных услуг (работ) получателями средств бюджетов муниципальных районов  (Дошкольная группа МКОУ СОШ с.Турукта)</t>
  </si>
  <si>
    <t>701 1 13 01995 05 0022 130</t>
  </si>
  <si>
    <t>Прочие доходы от оказания платных услуг (работ) получателями средств бюджетов муниципальных районов  (ДС на базе филиала НШ с.Батамай МКОУ ООШ с.Мурья)</t>
  </si>
  <si>
    <t>701 1 13 01995 05 0034 130</t>
  </si>
  <si>
    <t>Прочие доходы от оказания платных услуг (работ) получателями средств бюджетов муниципальных районов( МКДОУ "Белочка")</t>
  </si>
  <si>
    <t>701 1 13 01995 05 0035 130</t>
  </si>
  <si>
    <t>Прочие доходы от оказания платных услуг (работ) получателями средств бюджетов муниципальных районов (Структурное подразделение "Детский сад "Туллукчаан" МКОУ СОШ с.Натора)</t>
  </si>
  <si>
    <t>701 1 13 01995 05 0036 130</t>
  </si>
  <si>
    <t>Прочие доходы от оказания платных услуг (работ) получателями средств бюджетов муниципальных районов  (структурное подразделение детский сад "Сардаана" МКОУ СОШ с.Чамча)</t>
  </si>
  <si>
    <t>701 1 13 01995 05 0037 130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</si>
  <si>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"Кэнчээри" МКОУ "Орто-Нахаринская СОШ")</t>
  </si>
  <si>
    <t>701 1 13 01995 05 0039 130</t>
  </si>
  <si>
    <t>Прочие доходы от оказания платных услуг (работ) получателями средств бюджетов муниципальных районов (МКО ДО «ДШИ г. Ленска»)</t>
  </si>
  <si>
    <t>701 1 13 01995 05 0040 130</t>
  </si>
  <si>
    <t>Прочие доходы от оказания платных услуг (работ) получателями средств бюджетов муниципальных районов ( МКДОУ "Звездочка")</t>
  </si>
  <si>
    <t>701 1 13 01995 05 0042 130</t>
  </si>
  <si>
    <t>Прочие доходы от оказания платных услуг (работ) получателями средств бюджетов муниципальных районов (МКДОУ ЦРР "Сказка")</t>
  </si>
  <si>
    <t>701 1 13 01995 05 0044 130</t>
  </si>
  <si>
    <t>Прочие доходы от оказания платных услуг (работ) получателями средств бюджетов муниципальных районов (МКОО ДО "ЦДО "Сэргэ")</t>
  </si>
  <si>
    <t>701 1 13 01995 05 0051 130</t>
  </si>
  <si>
    <t>Прочие доходы от оказания платных услуг (работ) получателями средств бюджетов муниципальных районов (МКДОУ "Искорка")</t>
  </si>
  <si>
    <t>701 1 13 01995 05 0012 130</t>
  </si>
  <si>
    <t>Прочие доходы от оказания платных услуг (работ) получателями средств бюджетов муниципальных районов (Структурное подразделение  детский сад МКДОУ "Сардаана" с.Беченча  СОШ Беченча)</t>
  </si>
  <si>
    <t>701 1 13 01995 05 0053 130</t>
  </si>
  <si>
    <t>Прочие доходы от оказания платных услуг (работ) получателями средств бюджетов муниципальных районов (МКДОУ детский сад "Теремок" г.Ленск "ЛР")</t>
  </si>
  <si>
    <t>701 1 13 01995 05 0055 130</t>
  </si>
  <si>
    <t>Прочие доходы от оказания платных услуг (работ) получателями средств бюджетов муниципальных районов ( МКДОУ детский сад "Чебурашка")</t>
  </si>
  <si>
    <t>701 1 13 01995 05 0056 130</t>
  </si>
  <si>
    <t>Прочие доходы от оказания платных услуг (работ) получателями средств бюджетов муниципальных районов (МКДОУ ЦРР-д/с "Колокольчик" п.Витим )</t>
  </si>
  <si>
    <t>701 1 13 01995 05 0057 130</t>
  </si>
  <si>
    <t>Прочие доходы от оказания платных услуг (работ) получателями средств бюджетов муниципальных районов (МКДОУ Детский сад "Светлячок" п.Пеледуй)</t>
  </si>
  <si>
    <t>701 1 13 01995 05 0058 130</t>
  </si>
  <si>
    <t>Прочие доходы от оказания платных услуг (работ) получателями средств бюджетов муниципальных районов СП "детский сад "Василёк" МКОУ  СОШ с.Нюя"</t>
  </si>
  <si>
    <t>701 1 13 01995 05 0059 130</t>
  </si>
  <si>
    <t>Прочие доходы от оказания платных услуг (работ) получателями средств бюджетов муниципальных районов (МКДОУ  Детский сад "Солнышко")</t>
  </si>
  <si>
    <t>701 1 13 01995 05 0060 130</t>
  </si>
  <si>
    <t>Прочие доходы от оказания платных услуг (работ) получателями средств бюджетов муниципальных районов (МКДОУ  "ЦРР-д/с "Сардаана")</t>
  </si>
  <si>
    <t>000 1 14 00000 00 0000 000</t>
  </si>
  <si>
    <t xml:space="preserve">ДОХОДЫ ОТ ПРОДАЖИ МАТЕРИАЛЬНЫХ И НЕМАТЕРИАЛЬНЫХ АКТИВОВ
</t>
  </si>
  <si>
    <t>701 1 14 02000 05 0000 410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</si>
  <si>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</si>
  <si>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</si>
  <si>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</si>
  <si>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000 1 14 06000 05 0000 430</t>
  </si>
  <si>
    <t xml:space="preserve">Доходы от продажи земельных участков, находящихся в государственной и муниципальной собственности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</si>
  <si>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</si>
  <si>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</si>
  <si>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000 1 14 06013 13 0000 430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</si>
  <si>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</si>
  <si>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000 1 17 00000 00 0000 000</t>
  </si>
  <si>
    <t>ПРОЧИЕ НЕНАЛОГОВЫЕ ДОХОДЫ</t>
  </si>
  <si>
    <t>701 1 17 05050 05 0000 180</t>
  </si>
  <si>
    <t>Прочие неналоговые доходы бюджетов муниципальных районов</t>
  </si>
  <si>
    <t>итого собственных доходов:</t>
  </si>
  <si>
    <t>701 2 00 00000 00 0000 000</t>
  </si>
  <si>
    <t>БЕЗВОЗМЕЗДНЫЕ ПОСТУПЛЕНИЯ</t>
  </si>
  <si>
    <t>701 2 02 00000 00 0000 000</t>
  </si>
  <si>
    <t>Безвозмездные поступления от других бюджетов бюджетной системы Российской Федерации</t>
  </si>
  <si>
    <t>701 2 02 15000 00 0000 150</t>
  </si>
  <si>
    <t>Дотации бюджетам субъектов Российской Федерации и муниципальных образований, в т.ч.</t>
  </si>
  <si>
    <t>701 2 02 15001 05 0000 150</t>
  </si>
  <si>
    <t>Дотации бюджетам муниципальных районов на выравнивание бюджетной обеспеченности</t>
  </si>
  <si>
    <t>701 2 02 15002 05 0000 150</t>
  </si>
  <si>
    <t xml:space="preserve">  Дотации бюджетам муниципальных районов на поддержку мер по обеспечению сбалансированности бюджетов</t>
  </si>
  <si>
    <t>701 2 02 20000 00 0000 150</t>
  </si>
  <si>
    <t>Субсидии бюджетам бюджетной системы Российской Федерации (межбюджетные субсидии)</t>
  </si>
  <si>
    <t>701 2 02 25304 05 0000 150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</si>
  <si>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</si>
  <si>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701 2 02 25497 05 0000 150</t>
  </si>
  <si>
    <t>Субсидии бюджетам муниципальных районов на реализацию мероприятий по обеспечению жильем молодых семей</t>
  </si>
  <si>
    <t>701 2 02 29999 05 6201 150</t>
  </si>
  <si>
    <t>Субсидия на софинансирование расходных обязательств на организацию отдыха детей в каникулярное время</t>
  </si>
  <si>
    <t>701 2 02 02999 05 6207 151</t>
  </si>
  <si>
    <t>Организация и проведение конкурса на предоставление субсидии по реализации по патриотическому воспитанию молодежи в муниципальных образованиях РС(Я)</t>
  </si>
  <si>
    <t>701 2 02 29999 05 6210 151</t>
  </si>
  <si>
    <t>Субсидия на софинансирование расходных обязательств по реализации плана мероприятий комплексного развития муниципального образования на 2013-2018 годы</t>
  </si>
  <si>
    <t>701 2 02 29999 05 6237 150</t>
  </si>
  <si>
    <t>Софинансирование расходных обязательств на восстановление и укрепление материально-технической базы организаций детей</t>
  </si>
  <si>
    <t>701 2 02 29999 05 6267 150</t>
  </si>
  <si>
    <t xml:space="preserve">    Субсидия на создание модельных общедоступных муниципальных библиотек путем присвоения статуса "Муниципальная модельная библиотека Республики Саха (Якутия)"</t>
  </si>
  <si>
    <t>701 2 02 29999 05 6269 150</t>
  </si>
  <si>
    <t xml:space="preserve"> Прочие субсидии бюджетам муниципальных районов на софинансирование реализации мероприятий муниципальных программ (подпрограмм) развития кормопроизводства</t>
  </si>
  <si>
    <t>701 2 02 30000 00 0000 150</t>
  </si>
  <si>
    <t>Субвенции бюджетам субъектов Российской Федерации и муниципальных образований, в т.ч.</t>
  </si>
  <si>
    <t>701 2 02 30024 05 6301 150</t>
  </si>
  <si>
    <t>Субвенция на 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</si>
  <si>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701 2 02 30024 05 6302 150</t>
  </si>
  <si>
    <t>Субвенция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</si>
  <si>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701 2 02 30024 05 6303 150</t>
  </si>
  <si>
    <t>Субвенция на выполнение отдельных государственных полномочий по обеспечению деятельности специальных (коррекционных) образовательных учреждений для обучающихся, воспитанников с ограниченными возможностями здоровья, оздоровительных образовательных учреждений санаторного типа для детей, нуждающихся в длительном лечении</t>
  </si>
  <si>
    <t>701 2 02 30024 05 6311 150</t>
  </si>
  <si>
    <t>Субвенция на выполнение отдельных государственных полномочий по опеке и попечительству в отношении несовершеннолетних</t>
  </si>
  <si>
    <t>701 2 02 30024 05 6325 150</t>
  </si>
  <si>
    <t xml:space="preserve">Субвенция на выполнение расходов ОМСУ МР и ГО, связанные с обеспечением осуществления отдельных государственных полномочий по поддержке сельскохозяйственного производства </t>
  </si>
  <si>
    <t>701 2 02 30024 05 6326 150</t>
  </si>
  <si>
    <t>Субвенция а 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</si>
  <si>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701 2 02 30024 05 6327 150</t>
  </si>
  <si>
    <t xml:space="preserve"> Субвенции бюджетам муниципальных районов на выполнение передаваемых полномочий по выравниванию бюджетной обеспеченности поселений</t>
  </si>
  <si>
    <t>701 2 02 30024 05 6329 150</t>
  </si>
  <si>
    <t>Субвенция на выполнение отдельных государственных полномочий в области охраны труда</t>
  </si>
  <si>
    <t>701 2 02 30024 05 6330 150</t>
  </si>
  <si>
    <t>Субвенция на выполнение отдельных государственных полномочий по созданию административных комиссий</t>
  </si>
  <si>
    <t>701 2 02 30024 05 6331 150</t>
  </si>
  <si>
    <t>Субвенция на выполнение отдельных государственных полномочий по исполнению функций комиссий по делам несовершеннолетних и защите их прав</t>
  </si>
  <si>
    <t>701 2 02 30024 05 6332 150</t>
  </si>
  <si>
    <t>Субвенция на выполнение отдельных государственных полномочий по государственному регулированию цен (тарифов)</t>
  </si>
  <si>
    <t>701 2 02 30024 05 6333 150</t>
  </si>
  <si>
    <t>Субвенция на выполнение отдельных государственных полномочий по комплектованию, хранению, учету и использованию документов Архивного фонда РС (Я) и других архивных документов, относящихся к государственной собственности Республики Саха (Якутия)</t>
  </si>
  <si>
    <t>701 2 02 30024 05 6335 150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</si>
  <si>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организациях.</t>
  </si>
  <si>
    <t>701 2 02 30024 05 6336 150</t>
  </si>
  <si>
    <t>Субвенция на 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</si>
  <si>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701 2 02 30024 05 6337 150</t>
  </si>
  <si>
    <t>Субвенции бюджетам муниципальных районов на выполнение передаваемых полномочий субъектов Российской Федерации на выполнение отдельных государственных полномочий по предоставлению жилых помещений детям-сиротам и детям, оставшимся без попечения родителей,</t>
  </si>
  <si>
    <t>701 2 02 30024 05 6338 150</t>
  </si>
  <si>
    <t>Субвенция на выполнение отдельных государственных полномочий по предоставлению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</si>
  <si>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701 2 02 30024 05 6340 150</t>
  </si>
  <si>
    <t>Единая субвенция на выполнение отдельных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</si>
  <si>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701 2 02 30024 05 6345 150</t>
  </si>
  <si>
    <t>Выполнение ОМСУ МР и ГО отдельных государственных полномочий по поддержке скотоводства в личных подсобных хозяйствах граждан</t>
  </si>
  <si>
    <t>701 2 02 30024 05 6346 150</t>
  </si>
  <si>
    <t xml:space="preserve"> 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</si>
  <si>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701 2 02 30024 05 6347 150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</si>
  <si>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</si>
  <si>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701 2 02 30024 05 6348 150</t>
  </si>
  <si>
    <t xml:space="preserve"> субвенции на выполнение отдельных государственных полномочий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учреждений</t>
  </si>
  <si>
    <t>701 2 02 30029 05 6305 150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</si>
  <si>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</si>
  <si>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701 2 02 35082 05 0000 150</t>
  </si>
  <si>
    <t xml:space="preserve">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</si>
  <si>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701 2 02 35260 05 0000 150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</si>
  <si>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</si>
  <si>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701 2 02 35303 05 0000 150</t>
  </si>
  <si>
    <t xml:space="preserve">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</si>
  <si>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701 2 02 35469 05 5469 150</t>
  </si>
  <si>
    <t xml:space="preserve"> Субвенции бюджетам муниципальных районов на проведение Всероссийской переписи населения 2020 года</t>
  </si>
  <si>
    <t>701 2 02 35930 05 0000 150</t>
  </si>
  <si>
    <t>Субвенции бюджетам муниципальных районов на государственную регистрацию актов гражданского состояния</t>
  </si>
  <si>
    <t>701 2 02 40000 00 0000 150</t>
  </si>
  <si>
    <t>Иные межбюджетные трансферты</t>
  </si>
  <si>
    <t>701 2 02 40014 05 0000 150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</si>
  <si>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</si>
  <si>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701 2 07 00000 00 0000 180</t>
  </si>
  <si>
    <t>Прочие безвозмездные поступления</t>
  </si>
  <si>
    <t>701 2 07 05030 05 0000 180</t>
  </si>
  <si>
    <t>Прочие безвозмездные поступления в бюджеты муниципальных районов</t>
  </si>
  <si>
    <t>701 2 18 05010 05 0000 150</t>
  </si>
  <si>
    <t xml:space="preserve"> Доходы бюджетов муниципальных районов от возврата бюджетными учреждениями остатков субсидий прошлых лет</t>
  </si>
  <si>
    <t>701 2 18 06010 05 0000 150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</si>
  <si>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</si>
  <si>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701 2 19 05000 05 0000 150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</si>
  <si>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</si>
  <si>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</si>
  <si>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налоговые</t>
  </si>
  <si>
    <t>неналоговые</t>
  </si>
  <si>
    <t>собственные</t>
  </si>
  <si>
    <t>Приложение № 2</t>
  </si>
  <si>
    <t>№ 4-8</t>
  </si>
  <si>
    <t>от 02 декабря 2021 г.</t>
  </si>
  <si>
    <r>
      <rPr>
        <b/>
        <sz val="12"/>
        <color indexed="8"/>
        <rFont val="Arial"/>
        <family val="0"/>
      </rPr>
      <t xml:space="preserve">Распределение
</t>
    </r>
    <r>
      <rPr>
        <b/>
        <sz val="12"/>
        <color indexed="8"/>
        <rFont val="Arial"/>
        <family val="0"/>
      </rPr>
      <t xml:space="preserve">бюджетных ассигнований по целевым статьям муниципальных программ и группам видов расходов бюджета муниципального образования "Ленский район" на 2021 год и плановый период  2022 и  2023 годов
</t>
    </r>
    <r>
      <rPr>
        <sz val="12"/>
        <color indexed="8"/>
        <rFont val="Arial"/>
        <family val="0"/>
      </rPr>
      <t xml:space="preserve">(без федеральных и республиканских средств)
</t>
    </r>
  </si>
  <si>
    <t>(в руб.)</t>
  </si>
  <si>
    <t>ЦСР</t>
  </si>
  <si>
    <t>ВР</t>
  </si>
  <si>
    <t>ВСЕГО</t>
  </si>
  <si>
    <t xml:space="preserve">Развитие образования в Ленском районе </t>
  </si>
  <si>
    <t>1200000000</t>
  </si>
  <si>
    <t>Обеспечивающая подпрограмма</t>
  </si>
  <si>
    <t>1210000000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</si>
  <si>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</si>
  <si>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</si>
  <si>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</si>
  <si>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</si>
  <si>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Общее образование: Образование, открытое в будущее</t>
  </si>
  <si>
    <t>1220000000</t>
  </si>
  <si>
    <t>Развитие дошкольного образования</t>
  </si>
  <si>
    <t>1220100000</t>
  </si>
  <si>
    <t>Развитие общего образования</t>
  </si>
  <si>
    <t>1220200000</t>
  </si>
  <si>
    <t>Предоставление субсидий бюджетным, автономным учреждениям и иным некоммерческим организациям</t>
  </si>
  <si>
    <t>Воспитание и дополнительное образование</t>
  </si>
  <si>
    <t>1240000000</t>
  </si>
  <si>
    <t>Отдых детей и их оздоровление</t>
  </si>
  <si>
    <t>1260000000</t>
  </si>
  <si>
    <t xml:space="preserve">Развитие культуры Ленского района </t>
  </si>
  <si>
    <t>1000000000</t>
  </si>
  <si>
    <t>1010000000</t>
  </si>
  <si>
    <t xml:space="preserve">Обеспечение прав граждан на участие в культурной жизни </t>
  </si>
  <si>
    <t>1020000000</t>
  </si>
  <si>
    <t>Сохранение культурного и исторического наследия, расширение доступа населения к культурным ценностям и информации</t>
  </si>
  <si>
    <t>1030000000</t>
  </si>
  <si>
    <t>Развитие библиотечного дела</t>
  </si>
  <si>
    <t>Развитие музейного дела</t>
  </si>
  <si>
    <t>Модернизация и укрепление ресурсов  учреждений культуры и искусства</t>
  </si>
  <si>
    <t>1070000000</t>
  </si>
  <si>
    <t>Капитальные вложения в объекты 
государственной (муниципальной) собственности</t>
  </si>
  <si>
    <t>Развитие  предпринимательства в Ленском районе</t>
  </si>
  <si>
    <t>2600000000</t>
  </si>
  <si>
    <t xml:space="preserve">Развитие  предпринимательства </t>
  </si>
  <si>
    <t>2630000000</t>
  </si>
  <si>
    <t>Развитие сельского хозяйства и регулирование рынков сельскохозяйственной продукции, сырья и продовольствия Ленского района Республики Саха (Якутия)</t>
  </si>
  <si>
    <t>2500000000</t>
  </si>
  <si>
    <t xml:space="preserve">Обеспечивающая подпрограмма </t>
  </si>
  <si>
    <t>2510000000</t>
  </si>
  <si>
    <t>100</t>
  </si>
  <si>
    <t>Развитие животноводства</t>
  </si>
  <si>
    <t>2520000000</t>
  </si>
  <si>
    <t>Поддержка табунного коневодства</t>
  </si>
  <si>
    <t>2530000000</t>
  </si>
  <si>
    <t>Развитие растениеводства</t>
  </si>
  <si>
    <t>2540000000</t>
  </si>
  <si>
    <t>800</t>
  </si>
  <si>
    <t>Развитие кормопроизводства</t>
  </si>
  <si>
    <t>25А0000000</t>
  </si>
  <si>
    <t>Развитие пищевой и перерабатывающей промышленности</t>
  </si>
  <si>
    <t>25Г0000000</t>
  </si>
  <si>
    <t>Развитие транспортного комплекса муниципального образования  «Ленский район»</t>
  </si>
  <si>
    <t>1800000000</t>
  </si>
  <si>
    <t>Воздушный транспорт</t>
  </si>
  <si>
    <t>1830000000</t>
  </si>
  <si>
    <t>Водный транспорт</t>
  </si>
  <si>
    <t>1840000000</t>
  </si>
  <si>
    <t>Дорожное хозяйство</t>
  </si>
  <si>
    <t>1850000000</t>
  </si>
  <si>
    <t>Реализация молодежной  политики и патриотического воспитания граждан в Ленском районе</t>
  </si>
  <si>
    <t>1100000000</t>
  </si>
  <si>
    <t>1110000000</t>
  </si>
  <si>
    <t>Создание условий для развития потенциала подрастающего поколения, молодежи</t>
  </si>
  <si>
    <t>1120000000</t>
  </si>
  <si>
    <t>Воспитание патриотизма у граждан -национальная идея государства</t>
  </si>
  <si>
    <t>1130000000</t>
  </si>
  <si>
    <t>Семейная политика</t>
  </si>
  <si>
    <t>1150000000</t>
  </si>
  <si>
    <t>Мотивирование населения на ведение трезвого здорового образа жизни</t>
  </si>
  <si>
    <t>1160000000</t>
  </si>
  <si>
    <t>200</t>
  </si>
  <si>
    <t>Социальная поддержка граждан Ленского района</t>
  </si>
  <si>
    <t>1500000000</t>
  </si>
  <si>
    <t>Меры социальной поддержки отдельных категорий граждан</t>
  </si>
  <si>
    <t>1530000000</t>
  </si>
  <si>
    <t>300</t>
  </si>
  <si>
    <t xml:space="preserve">Охрана труда в Ленском районе </t>
  </si>
  <si>
    <t>1540000000</t>
  </si>
  <si>
    <t>Обеспечение качественным жильем и повышение качества жилищно-коммунальных услуг в Ленском районе</t>
  </si>
  <si>
    <t>2000000000</t>
  </si>
  <si>
    <t>Развитие градостроительного комплекса Ленского района</t>
  </si>
  <si>
    <t>2020000000</t>
  </si>
  <si>
    <t>Обеспечение граждан доступным и комфортным жильем</t>
  </si>
  <si>
    <t>2030000000</t>
  </si>
  <si>
    <t>400</t>
  </si>
  <si>
    <t>Управление муниципальной собственностью МО "Ленский район" РС (Я)</t>
  </si>
  <si>
    <t>3100000000</t>
  </si>
  <si>
    <t>3110000000</t>
  </si>
  <si>
    <t>Развитие системы управления недвижимостью</t>
  </si>
  <si>
    <t>3120000000</t>
  </si>
  <si>
    <t>Капитальные вложения в объекты государственной (муниципальной) собственности</t>
  </si>
  <si>
    <t>Развитие системы управления земельными ресурсами</t>
  </si>
  <si>
    <t>3140000000</t>
  </si>
  <si>
    <t>Развитие физической культуры и спорта в Ленском районе</t>
  </si>
  <si>
    <t>1400000000</t>
  </si>
  <si>
    <t>1410000000</t>
  </si>
  <si>
    <t>Развитие массового спорта</t>
  </si>
  <si>
    <t>1420000000</t>
  </si>
  <si>
    <t>Развитие детско - юношеского спорта</t>
  </si>
  <si>
    <t>1450000000</t>
  </si>
  <si>
    <t>Профилактика правонарушений в Ленском районе</t>
  </si>
  <si>
    <t>1700000000</t>
  </si>
  <si>
    <t>Повышение эффективности работы  в сфере профилактики правонарушений</t>
  </si>
  <si>
    <t>1710000000</t>
  </si>
  <si>
    <t>Развитие гражданского общества и гармонизация межэтнических отношений в Ленском районе</t>
  </si>
  <si>
    <t>Содействие развитию гражданского общества</t>
  </si>
  <si>
    <t>Обеспечение безопасности жизнедеятельности населения муниципального образования «Ленский район» Республики Саха (Якутия)</t>
  </si>
  <si>
    <t>Обеспечение пожарной безопасности, защита населения, территорий от чрезвычайных ситуаций, и гражданская оборона на территории муниципального образования «Ленский район» Республики Саха (Якутия)</t>
  </si>
  <si>
    <t>Охрана окружающей среды и природных ресурсов в Ленском районе</t>
  </si>
  <si>
    <t>Обеспечение экологической безопасности на территории муниципального образования</t>
  </si>
  <si>
    <t>Особо охраняемые природные территории и биологические ресурсы</t>
  </si>
  <si>
    <t>Экологическое образование и просвещение населения на территории муниципального образования</t>
  </si>
  <si>
    <t xml:space="preserve">Развитие здравоохранения в Ленском районе </t>
  </si>
  <si>
    <t>Совершенствование оказания медицинский помощи, включая профилактику заболеваний и формирование здорового образа жизни</t>
  </si>
  <si>
    <t>Комплексное развитие сельских территорий Ленского района</t>
  </si>
  <si>
    <t>Создание и развитие инфраструктуры на сельских территориях</t>
  </si>
  <si>
    <t>Приложение № 3</t>
  </si>
  <si>
    <t>к проекту решения Районного</t>
  </si>
  <si>
    <r>
      <rPr>
        <b/>
        <sz val="12"/>
        <color indexed="8"/>
        <rFont val="Arial"/>
        <family val="0"/>
      </rPr>
      <t xml:space="preserve">Распределение
</t>
    </r>
    <r>
      <rPr>
        <b/>
        <sz val="12"/>
        <color indexed="8"/>
        <rFont val="Arial"/>
        <family val="0"/>
      </rPr>
      <t xml:space="preserve">бюджетных ассигнований  по разделам, подразделам, целевым статьям  непрограммных направлений деятельности, группам видов расходов  классификации расходов бюджета муниципального образования "Ленский район" на 2021 год и плановый период 2022 и 2023 годов
</t>
    </r>
    <r>
      <rPr>
        <sz val="12"/>
        <color indexed="8"/>
        <rFont val="Arial"/>
        <family val="0"/>
      </rPr>
      <t>(без федеральных и республиканских средств)</t>
    </r>
    <r>
      <rPr>
        <b/>
        <sz val="12"/>
        <color indexed="8"/>
        <rFont val="Arial"/>
        <family val="0"/>
      </rPr>
      <t xml:space="preserve">
</t>
    </r>
    <r>
      <rPr>
        <b/>
        <sz val="12"/>
        <color indexed="8"/>
        <rFont val="Arial"/>
        <family val="0"/>
      </rPr>
      <t xml:space="preserve">
</t>
    </r>
  </si>
  <si>
    <t>Рз</t>
  </si>
  <si>
    <t>Пр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</si>
  <si>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</si>
  <si>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</si>
  <si>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</si>
  <si>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</si>
  <si>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</si>
  <si>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</si>
  <si>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9900000000</t>
  </si>
  <si>
    <t>Руководство и управление в сфере установленных функций органов местного самоуправления</t>
  </si>
  <si>
    <t>9910000000</t>
  </si>
  <si>
    <t>Глава муниципального образования</t>
  </si>
  <si>
    <t>9910011600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</si>
  <si>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</si>
  <si>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</si>
  <si>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образования</t>
  </si>
  <si>
    <t>9910011720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</si>
  <si>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</si>
  <si>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</si>
  <si>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содержание органов местного самоуправления</t>
  </si>
  <si>
    <t>9910011410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</si>
  <si>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</si>
  <si>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</si>
  <si>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</si>
  <si>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9910011740</t>
  </si>
  <si>
    <t>Проведение выборов и референдумов</t>
  </si>
  <si>
    <t>07</t>
  </si>
  <si>
    <t>Прочие непрограммные расходы</t>
  </si>
  <si>
    <t>9950000000</t>
  </si>
  <si>
    <t>Выполнение других обязательств муниципальных образований</t>
  </si>
  <si>
    <t>9950091019</t>
  </si>
  <si>
    <t>13</t>
  </si>
  <si>
    <t>Резервные фонды</t>
  </si>
  <si>
    <t>11</t>
  </si>
  <si>
    <t>Резервный фонд местной администрации</t>
  </si>
  <si>
    <t>9950071100</t>
  </si>
  <si>
    <t>Другие общегосударственные вопросы</t>
  </si>
  <si>
    <t>Расходы на обеспечение деятельности (оказание услуг) муниципальных учреждений</t>
  </si>
  <si>
    <t>600</t>
  </si>
  <si>
    <t>Расходы на исполнение судебных решений о взыскании из бюджета по искам юридических и физических лиц</t>
  </si>
  <si>
    <t>9950091017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</si>
  <si>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</si>
  <si>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</si>
  <si>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10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</si>
  <si>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</si>
  <si>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</si>
  <si>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</si>
  <si>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</si>
  <si>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</si>
  <si>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</si>
  <si>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9910022001</t>
  </si>
  <si>
    <t>Связь и информатика</t>
  </si>
  <si>
    <t>ЖИЛИЩНО-КОММУНАЛЬНОЕ ХОЗЯЙСТВО</t>
  </si>
  <si>
    <t>Жилищное хозяйство</t>
  </si>
  <si>
    <t>Расходы в области жилищно-коммунального хозяйства</t>
  </si>
  <si>
    <t>9950091009</t>
  </si>
  <si>
    <t>Благоустройство</t>
  </si>
  <si>
    <t>Расходы по благоустройству</t>
  </si>
  <si>
    <t>9950091011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</si>
  <si>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</si>
  <si>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</si>
  <si>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</si>
  <si>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</si>
  <si>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</si>
  <si>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09</t>
  </si>
  <si>
    <t>КУЛЬТУРА И КИНЕМАТОГРАФИЯ</t>
  </si>
  <si>
    <t>08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</si>
  <si>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</si>
  <si>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</si>
  <si>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</si>
  <si>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</si>
  <si>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</si>
  <si>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Ежемесячные доплаты к трудовой пенсии лицам, замещавшим муниципальные должности и должности муниципальной службы</t>
  </si>
  <si>
    <t>Социальное обеспечение населения</t>
  </si>
  <si>
    <t>Расходы в области социального обеспечения населения</t>
  </si>
  <si>
    <t>9950091012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</si>
  <si>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</si>
  <si>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</si>
  <si>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</si>
  <si>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</si>
  <si>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Расходы в области спорта и физической культуры</t>
  </si>
  <si>
    <t>9950091014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</si>
  <si>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</si>
  <si>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</si>
  <si>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</si>
  <si>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</si>
  <si>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9960000000</t>
  </si>
  <si>
    <t>Субсидии, передаваемые в государственный бюджет  (отрицательный трансферт)</t>
  </si>
  <si>
    <t>9960088300</t>
  </si>
  <si>
    <t>500</t>
  </si>
  <si>
    <t>Иные  межбюджетные трансферты за счет местного бюджета</t>
  </si>
  <si>
    <t>Приложение № 4</t>
  </si>
  <si>
    <r>
      <rPr>
        <b/>
        <sz val="12"/>
        <color indexed="8"/>
        <rFont val="Arial"/>
        <family val="0"/>
      </rPr>
      <t xml:space="preserve">Распределение бюджетных ассигнований по разделам, подразделам, целевым статьям, группам видов расходов классификации расходов бюджета муниципального образования "Ленский район" на 2021 год и плановый период 2022 и 2023 годов
</t>
    </r>
    <r>
      <rPr>
        <sz val="12"/>
        <color indexed="8"/>
        <rFont val="Arial"/>
        <family val="0"/>
      </rPr>
      <t>(без федеральных и республиканских средств)</t>
    </r>
    <r>
      <rPr>
        <b/>
        <sz val="12"/>
        <color indexed="8"/>
        <rFont val="Arial"/>
        <family val="0"/>
      </rPr>
      <t xml:space="preserve">
</t>
    </r>
  </si>
  <si>
    <t>Резервные фонды местных администраций</t>
  </si>
  <si>
    <t>2200000000</t>
  </si>
  <si>
    <t>2220000000</t>
  </si>
  <si>
    <t>Поддержка табунного конедводства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</si>
  <si>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</si>
  <si>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</si>
  <si>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</si>
  <si>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</si>
  <si>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Развитие предпринимательства</t>
  </si>
  <si>
    <t>ОХРАНА ОКРУЖАЮЩЕЙ СРЕДЫ</t>
  </si>
  <si>
    <t>Охрана объектов растительного и животного мира и среды их обитания</t>
  </si>
  <si>
    <t>Охрана окружающей среды  и природных ресурсов в  Ленском  районе</t>
  </si>
  <si>
    <t>Молодежная политика и оздоровление детей</t>
  </si>
  <si>
    <t>Реализация молодежной политики и патриотического воспитания граждан в Ленском районе</t>
  </si>
  <si>
    <t>Мотивирование населения на ведение трезвого здорового образа жизни.</t>
  </si>
  <si>
    <t xml:space="preserve">Развитие образования в Ленском районе  </t>
  </si>
  <si>
    <t>Обеспечивающая программа</t>
  </si>
  <si>
    <t>Сохранение культурного и исторического наследия, расширение доступа населения к культурным ценностям и информаци</t>
  </si>
  <si>
    <t>1030100000</t>
  </si>
  <si>
    <t>1030200000</t>
  </si>
  <si>
    <t>3400000000</t>
  </si>
  <si>
    <t>3440000000</t>
  </si>
  <si>
    <t>Другие вопросы в области культуры, кинематографии</t>
  </si>
  <si>
    <t>3200000000</t>
  </si>
  <si>
    <t>3210000000</t>
  </si>
  <si>
    <t>Реализация молодежной, семейной политики и патриотического воспитания граждан в Ленском районе</t>
  </si>
  <si>
    <t xml:space="preserve">Профилактика правонарушений в Ленском районе </t>
  </si>
  <si>
    <t>Массовый спорт</t>
  </si>
  <si>
    <t>Приложение № 5</t>
  </si>
  <si>
    <t xml:space="preserve">Ведомственная структура расходов  бюджета муниципального образования "Ленский район" на 2021 год и плановый период на 2022 и 2023 годов 
(без федеральных и республиканских средств)
</t>
  </si>
  <si>
    <t>Администрация муниципального образования "Ленский район" Республики Саха (Якутия)</t>
  </si>
  <si>
    <t>701</t>
  </si>
  <si>
    <t>Приложение № 6</t>
  </si>
  <si>
    <t>Объем межбюджетных трансфертов, получаемых из других бюджетов бюджетной системы Российской Федерации муниципальным образованием "Ленский район" на 2021 год и плановый период 2022 и 2023 годов</t>
  </si>
  <si>
    <t>(руб.)</t>
  </si>
  <si>
    <t>Вед</t>
  </si>
  <si>
    <t>ПР</t>
  </si>
  <si>
    <t>ЦС</t>
  </si>
  <si>
    <t>Источники финансирования (РБ, ПБ)*</t>
  </si>
  <si>
    <t>ВСЕГО РАСХОДОВ</t>
  </si>
  <si>
    <t xml:space="preserve">Руководство и управление в сфере установленных функций органов местного самоуправления </t>
  </si>
  <si>
    <t>ПБ</t>
  </si>
  <si>
    <t>3110022001</t>
  </si>
  <si>
    <t>РБ</t>
  </si>
  <si>
    <t>Проведение Всероссийской переписи населения 2020 года</t>
  </si>
  <si>
    <t>9950054690</t>
  </si>
  <si>
    <t>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</si>
  <si>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9950063260</t>
  </si>
  <si>
    <t>Выполнение отдельных государственных полномочий по созданию административных комиссий</t>
  </si>
  <si>
    <t>9950063300</t>
  </si>
  <si>
    <t>Выполнение отдельных государственных полномочий по комплектованию, хранению, учету и использованию документов Архивного фонда РС (Я) и других архивных документов, относящихся к государственной собственности РС (Я)</t>
  </si>
  <si>
    <t>9950063330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</si>
  <si>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</si>
  <si>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</si>
  <si>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9960059300</t>
  </si>
  <si>
    <t>Выполнение отдельных государственных полномочий по государственному регулированию цен (тарифов)</t>
  </si>
  <si>
    <t>9950063320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</si>
  <si>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</si>
  <si>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2510063250</t>
  </si>
  <si>
    <t>Рост производства продукции отраслей агропромышленного комплекса</t>
  </si>
  <si>
    <t>25К0000000</t>
  </si>
  <si>
    <t>Софинансирование реализации мероприятий муниципальных программ (подпрограмм) развития кормопроизводства (за счет средств ГБ)</t>
  </si>
  <si>
    <t>25К0062690</t>
  </si>
  <si>
    <t>25К0063450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</si>
  <si>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</si>
  <si>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25К0063460</t>
  </si>
  <si>
    <t>25К0063470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</si>
  <si>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</si>
  <si>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9960063360</t>
  </si>
  <si>
    <t>1220122001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</si>
  <si>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организациях.</t>
  </si>
  <si>
    <t>1220163350</t>
  </si>
  <si>
    <t>Педагог открытой школы</t>
  </si>
  <si>
    <t>1270000000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</si>
  <si>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</si>
  <si>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1270063380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</si>
  <si>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</si>
  <si>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1220053030</t>
  </si>
  <si>
    <t>1220222001</t>
  </si>
  <si>
    <t>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</t>
  </si>
  <si>
    <t>1220263020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</si>
  <si>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</si>
  <si>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1220263030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</si>
  <si>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среднегообщего образования, в том числе адаптированные основные общеобразовательные программы</t>
  </si>
  <si>
    <t>1220263480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</si>
  <si>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</si>
  <si>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12202L3040</t>
  </si>
  <si>
    <t>Дети арктики и севера</t>
  </si>
  <si>
    <t>1290000000</t>
  </si>
  <si>
    <t>Школа-сад на 50/15 мест с интернатом на 15 мест в с. Толон Ленского района (за счет средств ГБ)</t>
  </si>
  <si>
    <t>1290064214</t>
  </si>
  <si>
    <t>1240022001</t>
  </si>
  <si>
    <t>Организация отдыха детей в каникулярное время (за счет средств ГБ)</t>
  </si>
  <si>
    <t>1260062010</t>
  </si>
  <si>
    <t>Восстановление и укрепление материально-технической базы для организаций отдыха и оздоровления детей (за счет средств ГБ)</t>
  </si>
  <si>
    <t>1260062370</t>
  </si>
  <si>
    <t>1210022001</t>
  </si>
  <si>
    <t>1030122001</t>
  </si>
  <si>
    <t>1030222001</t>
  </si>
  <si>
    <t>Создание модельных муниципальных библиотек (за счет средств ГБ)</t>
  </si>
  <si>
    <t>1030162670</t>
  </si>
  <si>
    <t>Руководство и управление в сфере установленных функций</t>
  </si>
  <si>
    <t>1010011600</t>
  </si>
  <si>
    <t>Выплата компенсации в части родительской платы  за содержание ребенка в образовательных организациях, реализующих основную общеобразовательную программу дошкольного образования</t>
  </si>
  <si>
    <t>1220163050</t>
  </si>
  <si>
    <t>Реализация мероприятий по обеспечению жильем молодых семей</t>
  </si>
  <si>
    <t>20300L4970</t>
  </si>
  <si>
    <t>Выплата единовременного пособия при всех формах устройства детей, лишенных родительского попечения, в семью</t>
  </si>
  <si>
    <t>9950052600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</si>
  <si>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</si>
  <si>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9950063370</t>
  </si>
  <si>
    <t>Выполнение отдельных государственных полномочий по выплате ежемесячной компенсационной выплаты на содержание одного ребенка в семье опекуна (попечителя), приемной семье</t>
  </si>
  <si>
    <t>9950063410</t>
  </si>
  <si>
    <t>Выполнение отдельных государственных полномочий по выплате ежемесячного денежного вознаграждения приемному родителю</t>
  </si>
  <si>
    <t>9950063420</t>
  </si>
  <si>
    <t>Выполнение отдельных государственных полномочий по выплате единовременной дополнительной выплаты на каждого ребенка, принятого в семью опекуна (попечителя), в приемную семью</t>
  </si>
  <si>
    <t>9950063440</t>
  </si>
  <si>
    <t>Выполнение отдельных государственных полномочий на бесплатный проезд детей-сирот и детей, оставшихся без попечения родителей, обучающихся в муниципальных образовательных учреждениях</t>
  </si>
  <si>
    <t>9950063450</t>
  </si>
  <si>
    <t>Выполнение отдельных государственных полномочий на санаторно-курортное лечение, летний труд и отдых детей-сирот и детей, оставшихся без попечения родителей</t>
  </si>
  <si>
    <t>9950063460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</si>
  <si>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</si>
  <si>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99500R0820</t>
  </si>
  <si>
    <t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</si>
  <si>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9950063010</t>
  </si>
  <si>
    <t>Выполнение отдельных государственных полномочий по опеке и попечительству в отношении несовершеннолетних</t>
  </si>
  <si>
    <t>9950063110</t>
  </si>
  <si>
    <t>Выполнение  отдельных государственных полномочий в области охраны труда</t>
  </si>
  <si>
    <t>9950063290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</si>
  <si>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</si>
  <si>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9950063310</t>
  </si>
  <si>
    <t>1410022001</t>
  </si>
  <si>
    <t>Дотация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</si>
  <si>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(за счет средств ГБ)</t>
  </si>
  <si>
    <t>9960061010</t>
  </si>
  <si>
    <t>Иные дотации</t>
  </si>
  <si>
    <t>Предоставление дотации на поддержку мер по обеспечению сбалансированности местных бюджетов (за счет средств ГБ)</t>
  </si>
  <si>
    <t>9960061020</t>
  </si>
  <si>
    <t>* РБ - средства, поступившие из Государственного бюджета РС (Я) , ПБ- средства, поступившие из бюджетов поселений Ленского района</t>
  </si>
  <si>
    <t>Приложение № 7</t>
  </si>
  <si>
    <t xml:space="preserve">Объем межбюджетных трансфертов предоставляемых другим бюджетам бюджетной системы Российской Федерации из бюджета муниципального образования "Ленский район" на 2021 год и плановый период 2022 и 2023 годов </t>
  </si>
  <si>
    <t>в рублях</t>
  </si>
  <si>
    <t>№</t>
  </si>
  <si>
    <t>Наименование, наименование поселения</t>
  </si>
  <si>
    <t>Дотация на выравнивание уровня бюджетной обеспеченности, в том числе:</t>
  </si>
  <si>
    <t>1.1.</t>
  </si>
  <si>
    <t>МО "Город Ленск"</t>
  </si>
  <si>
    <t>1.2.</t>
  </si>
  <si>
    <t>МО "Поселок Витим"</t>
  </si>
  <si>
    <t>1.3.</t>
  </si>
  <si>
    <t>МО "Поселок Пеледуй"</t>
  </si>
  <si>
    <t>1.4.</t>
  </si>
  <si>
    <t>МО "Беченчинский наслег"</t>
  </si>
  <si>
    <t>1.5.</t>
  </si>
  <si>
    <t>МО "Мурбайский наслег"</t>
  </si>
  <si>
    <t>1.6.</t>
  </si>
  <si>
    <t>МО "Наторинский наслег"</t>
  </si>
  <si>
    <t>1.7.</t>
  </si>
  <si>
    <t>МО "Нюйский наслег"</t>
  </si>
  <si>
    <t>1.8.</t>
  </si>
  <si>
    <t>МО "Орто-Нахаринский наслег"</t>
  </si>
  <si>
    <t>1.9.</t>
  </si>
  <si>
    <t>МО "Салдыкельский наслег"</t>
  </si>
  <si>
    <t>1.10.</t>
  </si>
  <si>
    <t>МО "Толонский наслег"</t>
  </si>
  <si>
    <t>1.11.</t>
  </si>
  <si>
    <t>МО "Ярославский наслег"</t>
  </si>
  <si>
    <t>Субвенция на выполнение федеральных полномочий по государственной  регистрации актов гражданского состояния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</si>
  <si>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</si>
  <si>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</si>
  <si>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</si>
  <si>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</si>
  <si>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</si>
  <si>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</si>
  <si>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</si>
  <si>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</si>
  <si>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</si>
  <si>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</si>
  <si>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</si>
  <si>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</si>
  <si>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</si>
  <si>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</si>
  <si>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</si>
  <si>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</si>
  <si>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</si>
  <si>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</si>
  <si>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</si>
  <si>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</si>
  <si>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</t>
  </si>
  <si>
    <t xml:space="preserve">Субсидия на софинансирование расходных обязательств по реализации плана мероприятий комплексного развития муниципального образования 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</si>
  <si>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</si>
  <si>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</si>
  <si>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</si>
  <si>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</si>
  <si>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</si>
  <si>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</si>
  <si>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</si>
  <si>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</si>
  <si>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</si>
  <si>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</si>
  <si>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</si>
  <si>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 xml:space="preserve">5. </t>
  </si>
  <si>
    <t>Субсидия на эксплуатацию и содержание сооружений инженерной защиты</t>
  </si>
  <si>
    <t>5.1.</t>
  </si>
  <si>
    <t>Муниципальное образование "Город Ленск"</t>
  </si>
  <si>
    <t>3.</t>
  </si>
  <si>
    <t>4.</t>
  </si>
  <si>
    <t>Межбюджетные трансферты общего характера бюджетам субъектов Российской Федерации и муниципальным образованиям</t>
  </si>
  <si>
    <t>4.1.1.</t>
  </si>
  <si>
    <t>Государственный бюджет Республики Саха (Якутия)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</si>
  <si>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</si>
  <si>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</si>
  <si>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</si>
  <si>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</si>
  <si>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</si>
  <si>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</si>
  <si>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</si>
  <si>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</si>
  <si>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</si>
  <si>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</si>
  <si>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</si>
  <si>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5.</t>
  </si>
  <si>
    <t xml:space="preserve">Предоставление дотации на поддержку мер по обеспечению сбалансированности местных бюджетов 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</si>
  <si>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</si>
  <si>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</si>
  <si>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</si>
  <si>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</si>
  <si>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</si>
  <si>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</si>
  <si>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</si>
  <si>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</si>
  <si>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</si>
  <si>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</si>
  <si>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Приложение № 8</t>
  </si>
  <si>
    <t xml:space="preserve">Источники финансирования дефицита бюджета муниципального образования "Ленский район" на 2021 год и плановый период 2022 и 2023 годов  </t>
  </si>
  <si>
    <t>Наименование показателя</t>
  </si>
  <si>
    <t>Источники финансирования дефицита бюджета, всего</t>
  </si>
  <si>
    <t> 1</t>
  </si>
  <si>
    <t>Муниципальные ценные бумаги</t>
  </si>
  <si>
    <t xml:space="preserve"> </t>
  </si>
  <si>
    <t> 1.1</t>
  </si>
  <si>
    <t>привлечение основного долга</t>
  </si>
  <si>
    <t> 1.2</t>
  </si>
  <si>
    <t>погашение основного долга</t>
  </si>
  <si>
    <t> 2</t>
  </si>
  <si>
    <t>Бюджетные кредиты, полученные от других бюджетов</t>
  </si>
  <si>
    <t> 2.1</t>
  </si>
  <si>
    <t> 2.2</t>
  </si>
  <si>
    <t> 3.</t>
  </si>
  <si>
    <t>Кредиты, полученные от кредитных организаций</t>
  </si>
  <si>
    <t> 3.1</t>
  </si>
  <si>
    <t> 3.2</t>
  </si>
  <si>
    <t>Изменение остатков средств на счетах по учету средств бюджетов</t>
  </si>
  <si>
    <t>4.1</t>
  </si>
  <si>
    <t>увеличение остатков средств бюджета</t>
  </si>
  <si>
    <t>4.2</t>
  </si>
  <si>
    <t>уменьшение остатков средств бюджета</t>
  </si>
  <si>
    <t>Иные источники внутреннего финансирования дефицита, в том числе:</t>
  </si>
  <si>
    <t> 5.1</t>
  </si>
  <si>
    <t>Акции и иные формы участия в капитале в муниципальной собственности</t>
  </si>
  <si>
    <t> 5.1.1</t>
  </si>
  <si>
    <t>поступления от продажи акций</t>
  </si>
  <si>
    <t> 5.1.2</t>
  </si>
  <si>
    <t>приобретение акций</t>
  </si>
  <si>
    <t> 5.2</t>
  </si>
  <si>
    <t>Земельные участки, находящиеся в муниципальной собственности</t>
  </si>
  <si>
    <t> 5.2.1</t>
  </si>
  <si>
    <t>поступления от продажи земельных участков</t>
  </si>
  <si>
    <t> 5.2.2</t>
  </si>
  <si>
    <t> приобретение земельных участков</t>
  </si>
  <si>
    <t> 5.3</t>
  </si>
  <si>
    <t>Исполнение муниципальных гарантий</t>
  </si>
  <si>
    <t>5.4</t>
  </si>
  <si>
    <t>Бюджетные кредиты, предоставленные внутри страны в валюте Российской Федерации</t>
  </si>
  <si>
    <t> 5.4.1</t>
  </si>
  <si>
    <t>предоставление бюджетных кредитов</t>
  </si>
  <si>
    <t> 5.4.2</t>
  </si>
  <si>
    <t>погашение (возврат) бюджетных кредитов</t>
  </si>
  <si>
    <t> 5.5</t>
  </si>
  <si>
    <t>Прочие источники внутреннего финансирования дефицита</t>
  </si>
  <si>
    <t> 5.5.1</t>
  </si>
  <si>
    <t>погашение задолженности</t>
  </si>
  <si>
    <t>Приложение № 9</t>
  </si>
  <si>
    <t>№ 4-5</t>
  </si>
  <si>
    <t>Капитальные вложения в объекты муниципальной собственности</t>
  </si>
  <si>
    <t>№ п/п</t>
  </si>
  <si>
    <t>Наименование объекта</t>
  </si>
  <si>
    <t>Итого</t>
  </si>
  <si>
    <t xml:space="preserve">Софинансирование за счет местного бюджета строительство объекта: Национальная школа на 50 учащихся с детским садом на 15 мест и интернатом на 15 мест в с. Толон Ленского района Республики Саха (Якутия). </t>
  </si>
  <si>
    <t>Cофинансирование за счет местного бюджета строительство объекта: Школа  на  50  учащихся  в с. Натора Ленского района Республики Саха (Якутия)</t>
  </si>
  <si>
    <t>Софинансирование за счет местного бюджета строительство объекта:  Физкультурно-оздоровительный комплекс в городе Ленск</t>
  </si>
  <si>
    <t>Софинансирование за счет местного бюджета строительство объекта: Стройка: "Детская школа искусств г. Ленск" Республики Саха (Якутия)"</t>
  </si>
  <si>
    <t>Приобретение квартир для бюджетной сферы</t>
  </si>
  <si>
    <t>Предоставление квартир отдельным категориям граждан</t>
  </si>
  <si>
    <t>Софинансирование за счет местного бюджета 20% на строительство объекта: Дом культуры в поселке Витим</t>
  </si>
  <si>
    <t>Софинансирование за счет местного бюджета 20% на строительство объекта: Дом культуры в селе Беченча</t>
  </si>
  <si>
    <t>Софинансирование за счет местного бюджета 20% на строительство объекта: Культурно-спортивный комплекс в селе Южная Нюя</t>
  </si>
  <si>
    <t>Софинансирование за счет местного бюджета 20% на строительство объекта: Дом культуры в селе Чамча</t>
  </si>
  <si>
    <t>Расходы на реконструкцию спортивного зала в поселке Пеледуй</t>
  </si>
  <si>
    <t>Оплата апелляционного определения суда по выкупу земельного участка</t>
  </si>
  <si>
    <t xml:space="preserve">Подсобные помещения к основному зданию пункта проката лыжной базы </t>
  </si>
  <si>
    <t xml:space="preserve">Благоустройство сквера старожилов </t>
  </si>
  <si>
    <t>Технологическое присоединение к электрическим сетям школа с. Толон</t>
  </si>
  <si>
    <t>строительство теплого туалета</t>
  </si>
  <si>
    <t>Оплата апелляционного определения суда об изятии земельного участка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</si>
</sst>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Times New Roman"/>
      <family val="0"/>
    </font>
    <font>
      <sz val="14"/>
      <color indexed="8"/>
      <name val="Arial"/>
      <family val="0"/>
    </font>
    <font>
      <b/>
      <sz val="11"/>
      <color indexed="8"/>
      <name val="Calibri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10"/>
      <color indexed="8"/>
      <name val="Arial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b/>
      <i/>
      <sz val="11"/>
      <color indexed="8"/>
      <name val="Calibri"/>
      <family val="0"/>
    </font>
    <font>
      <b/>
      <i/>
      <sz val="10"/>
      <color indexed="8"/>
      <name val="Calibri"/>
      <family val="0"/>
    </font>
    <font>
      <sz val="12"/>
      <color indexed="15"/>
      <name val="Arial Cyr"/>
      <family val="0"/>
    </font>
    <font>
      <sz val="11"/>
      <color indexed="1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/>
    </border>
    <border>
      <left/>
      <right style="thin">
        <color indexed="10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3" fontId="3" fillId="2" borderId="2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/>
    </xf>
    <xf numFmtId="49" fontId="4" fillId="2" borderId="3" xfId="0" applyNumberFormat="1" applyFont="1" applyFill="1" applyBorder="1" applyAlignment="1">
      <alignment horizontal="left" vertical="top"/>
    </xf>
    <xf numFmtId="49" fontId="4" fillId="2" borderId="3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/>
    </xf>
    <xf numFmtId="49" fontId="0" fillId="2" borderId="3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justify" vertical="top" wrapText="1"/>
    </xf>
    <xf numFmtId="4" fontId="3" fillId="2" borderId="3" xfId="0" applyNumberFormat="1" applyFont="1" applyFill="1" applyBorder="1" applyAlignment="1">
      <alignment horizontal="right" vertical="top"/>
    </xf>
    <xf numFmtId="49" fontId="4" fillId="2" borderId="3" xfId="0" applyNumberFormat="1" applyFont="1" applyFill="1" applyBorder="1" applyAlignment="1">
      <alignment horizontal="justify" vertical="top" wrapText="1"/>
    </xf>
    <xf numFmtId="0" fontId="0" fillId="2" borderId="1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left" vertical="top"/>
    </xf>
    <xf numFmtId="49" fontId="3" fillId="2" borderId="3" xfId="0" applyNumberFormat="1" applyFont="1" applyFill="1" applyBorder="1" applyAlignment="1">
      <alignment horizontal="left" vertical="top" wrapText="1"/>
    </xf>
    <xf numFmtId="4" fontId="0" fillId="2" borderId="3" xfId="0" applyNumberFormat="1" applyFont="1" applyFill="1" applyBorder="1" applyAlignment="1">
      <alignment vertical="top"/>
    </xf>
    <xf numFmtId="49" fontId="4" fillId="2" borderId="3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justify" vertical="center" wrapText="1"/>
    </xf>
    <xf numFmtId="4" fontId="0" fillId="2" borderId="1" xfId="0" applyNumberFormat="1" applyFont="1" applyFill="1" applyBorder="1" applyAlignment="1">
      <alignment/>
    </xf>
    <xf numFmtId="0" fontId="0" fillId="2" borderId="3" xfId="0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right" vertical="center"/>
    </xf>
    <xf numFmtId="4" fontId="0" fillId="2" borderId="3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top"/>
    </xf>
    <xf numFmtId="49" fontId="0" fillId="2" borderId="5" xfId="0" applyNumberFormat="1" applyFont="1" applyFill="1" applyBorder="1" applyAlignment="1">
      <alignment vertical="top"/>
    </xf>
    <xf numFmtId="4" fontId="0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 vertical="top"/>
    </xf>
    <xf numFmtId="0" fontId="0" fillId="2" borderId="3" xfId="0" applyFont="1" applyFill="1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5" fillId="2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vertical="center"/>
    </xf>
    <xf numFmtId="4" fontId="6" fillId="2" borderId="8" xfId="0" applyNumberFormat="1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" fontId="4" fillId="2" borderId="12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/>
    </xf>
    <xf numFmtId="49" fontId="5" fillId="2" borderId="13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9" fontId="4" fillId="3" borderId="3" xfId="0" applyNumberFormat="1" applyFont="1" applyFill="1" applyBorder="1" applyAlignment="1">
      <alignment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right" vertical="center"/>
    </xf>
    <xf numFmtId="49" fontId="4" fillId="4" borderId="3" xfId="0" applyNumberFormat="1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" fontId="9" fillId="5" borderId="3" xfId="0" applyNumberFormat="1" applyFont="1" applyFill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4" borderId="14" xfId="0" applyNumberFormat="1" applyFont="1" applyFill="1" applyBorder="1" applyAlignment="1">
      <alignment horizontal="right" vertical="center"/>
    </xf>
    <xf numFmtId="49" fontId="4" fillId="4" borderId="3" xfId="0" applyNumberFormat="1" applyFont="1" applyFill="1" applyBorder="1" applyAlignment="1">
      <alignment wrapText="1"/>
    </xf>
    <xf numFmtId="4" fontId="9" fillId="4" borderId="3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wrapText="1"/>
    </xf>
    <xf numFmtId="4" fontId="11" fillId="2" borderId="3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4" fontId="3" fillId="2" borderId="3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horizontal="right" vertical="center" wrapText="1"/>
    </xf>
    <xf numFmtId="49" fontId="12" fillId="2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4" fillId="6" borderId="3" xfId="0" applyNumberFormat="1" applyFont="1" applyFill="1" applyBorder="1" applyAlignment="1">
      <alignment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right"/>
    </xf>
    <xf numFmtId="49" fontId="0" fillId="2" borderId="3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right" wrapText="1"/>
    </xf>
    <xf numFmtId="49" fontId="4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right"/>
    </xf>
    <xf numFmtId="49" fontId="0" fillId="2" borderId="3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 horizontal="right"/>
    </xf>
    <xf numFmtId="0" fontId="4" fillId="2" borderId="3" xfId="0" applyNumberFormat="1" applyFont="1" applyFill="1" applyBorder="1" applyAlignment="1">
      <alignment horizontal="center" wrapText="1"/>
    </xf>
    <xf numFmtId="0" fontId="0" fillId="2" borderId="3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" fontId="4" fillId="2" borderId="3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left" wrapText="1"/>
    </xf>
    <xf numFmtId="0" fontId="0" fillId="2" borderId="3" xfId="0" applyNumberFormat="1" applyFont="1" applyFill="1" applyBorder="1" applyAlignment="1">
      <alignment/>
    </xf>
    <xf numFmtId="49" fontId="0" fillId="2" borderId="5" xfId="0" applyNumberFormat="1" applyFont="1" applyFill="1" applyBorder="1" applyAlignment="1">
      <alignment wrapText="1"/>
    </xf>
    <xf numFmtId="0" fontId="0" fillId="0" borderId="0" xfId="0" applyNumberFormat="1" applyFont="1" applyAlignment="1">
      <alignment/>
    </xf>
    <xf numFmtId="4" fontId="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49" fontId="16" fillId="2" borderId="1" xfId="0" applyNumberFormat="1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 wrapText="1"/>
    </xf>
    <xf numFmtId="4" fontId="12" fillId="2" borderId="3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0" fontId="17" fillId="2" borderId="4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49" fontId="3" fillId="2" borderId="3" xfId="0" applyNumberFormat="1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4" fontId="11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top"/>
    </xf>
    <xf numFmtId="49" fontId="12" fillId="2" borderId="3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/>
    </xf>
    <xf numFmtId="0" fontId="3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/>
    </xf>
    <xf numFmtId="49" fontId="16" fillId="2" borderId="1" xfId="0" applyNumberFormat="1" applyFont="1" applyFill="1" applyBorder="1" applyAlignment="1">
      <alignment horizontal="left" vertical="center"/>
    </xf>
    <xf numFmtId="4" fontId="15" fillId="2" borderId="1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vertical="top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vertical="top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/>
    </xf>
    <xf numFmtId="4" fontId="12" fillId="2" borderId="3" xfId="0" applyNumberFormat="1" applyFont="1" applyFill="1" applyBorder="1" applyAlignment="1">
      <alignment horizontal="right" vertical="center"/>
    </xf>
    <xf numFmtId="49" fontId="11" fillId="2" borderId="3" xfId="0" applyNumberFormat="1" applyFont="1" applyFill="1" applyBorder="1" applyAlignment="1">
      <alignment horizontal="left" vertical="top" wrapText="1"/>
    </xf>
    <xf numFmtId="49" fontId="12" fillId="2" borderId="3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vertical="top"/>
    </xf>
    <xf numFmtId="49" fontId="3" fillId="2" borderId="3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top" wrapText="1"/>
    </xf>
    <xf numFmtId="4" fontId="19" fillId="2" borderId="3" xfId="0" applyNumberFormat="1" applyFont="1" applyFill="1" applyBorder="1" applyAlignment="1">
      <alignment horizontal="right" vertical="center"/>
    </xf>
    <xf numFmtId="4" fontId="20" fillId="2" borderId="3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right" vertical="center"/>
    </xf>
    <xf numFmtId="4" fontId="0" fillId="2" borderId="6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49" fontId="6" fillId="2" borderId="1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vertical="center"/>
    </xf>
    <xf numFmtId="4" fontId="13" fillId="2" borderId="3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0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B8CCE4"/>
      <rgbColor rgb="00D6E3BC"/>
      <rgbColor rgb="00CCC0D9"/>
      <rgbColor rgb="00D2DAE4"/>
      <rgbColor rgb="00FF0000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showGridLines="0" tabSelected="1" workbookViewId="0" topLeftCell="A1">
      <selection activeCell="A1" sqref="A1"/>
    </sheetView>
  </sheetViews>
  <sheetFormatPr defaultColWidth="10.28125" defaultRowHeight="15" customHeight="1"/>
  <cols>
    <col min="1" max="1" width="32.140625" style="1" customWidth="1"/>
    <col min="2" max="2" width="60.00390625" style="1" customWidth="1"/>
    <col min="3" max="4" width="21.7109375" style="1" customWidth="1"/>
    <col min="5" max="5" width="22.421875" style="1" customWidth="1"/>
    <col min="6" max="6" width="9.140625" style="1" customWidth="1"/>
    <col min="7" max="7" width="27.00390625" style="1" customWidth="1"/>
    <col min="8" max="9" width="9.140625" style="1" customWidth="1"/>
    <col min="10" max="10" width="14.8515625" style="1" customWidth="1"/>
    <col min="11" max="256" width="9.140625" style="1" customWidth="1"/>
  </cols>
  <sheetData>
    <row r="1" spans="1:10" ht="13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6.5" customHeight="1">
      <c r="A2" s="2"/>
      <c r="B2" s="2"/>
      <c r="C2" s="2"/>
      <c r="D2" s="3" t="s">
        <v>0</v>
      </c>
      <c r="E2" s="4"/>
      <c r="F2" s="2"/>
      <c r="G2" s="2"/>
      <c r="H2" s="2"/>
      <c r="I2" s="2"/>
      <c r="J2" s="2"/>
    </row>
    <row r="3" spans="1:10" ht="16.5" customHeight="1">
      <c r="A3" s="2"/>
      <c r="B3" s="2"/>
      <c r="C3" s="2"/>
      <c r="D3" s="3" t="s">
        <v>1</v>
      </c>
      <c r="E3" s="4"/>
      <c r="F3" s="2"/>
      <c r="G3" s="2"/>
      <c r="H3" s="2"/>
      <c r="I3" s="2"/>
      <c r="J3" s="2"/>
    </row>
    <row r="4" spans="1:10" ht="16.5" customHeight="1">
      <c r="A4" s="2"/>
      <c r="B4" s="2"/>
      <c r="C4" s="2"/>
      <c r="D4" s="3" t="s">
        <v>2</v>
      </c>
      <c r="E4" s="4"/>
      <c r="F4" s="2"/>
      <c r="G4" s="2"/>
      <c r="H4" s="2"/>
      <c r="I4" s="2"/>
      <c r="J4" s="2"/>
    </row>
    <row r="5" spans="1:10" ht="16.5" customHeight="1">
      <c r="A5" s="2"/>
      <c r="B5" s="2"/>
      <c r="C5" s="2"/>
      <c r="D5" s="3" t="s">
        <v>3</v>
      </c>
      <c r="E5" s="4"/>
      <c r="F5" s="2"/>
      <c r="G5" s="2"/>
      <c r="H5" s="2"/>
      <c r="I5" s="2"/>
      <c r="J5" s="2"/>
    </row>
    <row r="6" spans="1:10" ht="16.5" customHeight="1">
      <c r="A6" s="2"/>
      <c r="B6" s="2"/>
      <c r="C6" s="2"/>
      <c r="D6" s="3" t="s">
        <v>4</v>
      </c>
      <c r="E6" s="4"/>
      <c r="F6" s="2"/>
      <c r="G6" s="2"/>
      <c r="H6" s="2"/>
      <c r="I6" s="2"/>
      <c r="J6" s="2"/>
    </row>
    <row r="7" spans="1:10" ht="16.5" customHeight="1">
      <c r="A7" s="2"/>
      <c r="B7" s="2"/>
      <c r="C7" s="2"/>
      <c r="D7" s="3" t="s">
        <v>5</v>
      </c>
      <c r="E7" s="4"/>
      <c r="F7" s="2"/>
      <c r="G7" s="2"/>
      <c r="H7" s="2"/>
      <c r="I7" s="2"/>
      <c r="J7" s="2"/>
    </row>
    <row r="8" spans="1:10" ht="16.5" customHeight="1">
      <c r="A8" s="2"/>
      <c r="B8" s="2"/>
      <c r="C8" s="2"/>
      <c r="D8" s="3" t="s">
        <v>6</v>
      </c>
      <c r="E8" s="4"/>
      <c r="F8" s="2"/>
      <c r="G8" s="2"/>
      <c r="H8" s="2"/>
      <c r="I8" s="2"/>
      <c r="J8" s="2"/>
    </row>
    <row r="9" spans="1:10" ht="13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63" customHeight="1">
      <c r="A11" s="5" t="s">
        <v>7</v>
      </c>
      <c r="B11" s="6"/>
      <c r="C11" s="6"/>
      <c r="D11" s="6"/>
      <c r="E11" s="6"/>
      <c r="F11" s="2"/>
      <c r="G11" s="2"/>
      <c r="H11" s="2"/>
      <c r="I11" s="2"/>
      <c r="J11" s="2"/>
    </row>
    <row r="12" spans="1:10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5" customHeight="1">
      <c r="A13" s="7"/>
      <c r="B13" s="7"/>
      <c r="C13" s="7"/>
      <c r="D13" s="7"/>
      <c r="E13" s="8"/>
      <c r="F13" s="2"/>
      <c r="G13" s="2"/>
      <c r="H13" s="2"/>
      <c r="I13" s="2"/>
      <c r="J13" s="2"/>
    </row>
    <row r="14" spans="1:10" ht="27" customHeight="1">
      <c r="A14" s="9" t="s">
        <v>8</v>
      </c>
      <c r="B14" s="9" t="s">
        <v>9</v>
      </c>
      <c r="C14" s="9" t="s">
        <v>10</v>
      </c>
      <c r="D14" s="9" t="s">
        <v>11</v>
      </c>
      <c r="E14" s="9" t="s">
        <v>12</v>
      </c>
      <c r="F14" s="10"/>
      <c r="G14" s="2"/>
      <c r="H14" s="2"/>
      <c r="I14" s="2"/>
      <c r="J14" s="2"/>
    </row>
    <row r="15" spans="1:10" ht="15.75" customHeight="1">
      <c r="A15" s="11" t="s">
        <v>13</v>
      </c>
      <c r="B15" s="12" t="s">
        <v>14</v>
      </c>
      <c r="C15" s="13">
        <f>(C16+C17+C18+C19)</f>
        <v>1858693290</v>
      </c>
      <c r="D15" s="13">
        <f>D16+D17+D18+D19</f>
        <v>1859320070</v>
      </c>
      <c r="E15" s="13">
        <f>E16+E17+E18+E19</f>
        <v>1835055340</v>
      </c>
      <c r="F15" s="10"/>
      <c r="G15" s="2"/>
      <c r="H15" s="2"/>
      <c r="I15" s="2"/>
      <c r="J15" s="2"/>
    </row>
    <row r="16" spans="1:10" ht="96" customHeight="1">
      <c r="A16" s="14" t="s">
        <v>15</v>
      </c>
      <c r="B16" s="15" t="s">
        <v>16</v>
      </c>
      <c r="C16" s="16">
        <v>1847456290</v>
      </c>
      <c r="D16" s="16">
        <v>1848076070</v>
      </c>
      <c r="E16" s="16">
        <v>1823805340</v>
      </c>
      <c r="F16" s="10"/>
      <c r="G16" s="2"/>
      <c r="H16" s="2"/>
      <c r="I16" s="2"/>
      <c r="J16" s="2"/>
    </row>
    <row r="17" spans="1:10" ht="150" customHeight="1">
      <c r="A17" s="14" t="s">
        <v>17</v>
      </c>
      <c r="B17" s="15" t="s">
        <v>18</v>
      </c>
      <c r="C17" s="16">
        <v>850000</v>
      </c>
      <c r="D17" s="16">
        <v>855000</v>
      </c>
      <c r="E17" s="16">
        <v>860000</v>
      </c>
      <c r="F17" s="10"/>
      <c r="G17" s="2"/>
      <c r="H17" s="2"/>
      <c r="I17" s="2"/>
      <c r="J17" s="2"/>
    </row>
    <row r="18" spans="1:10" ht="75" customHeight="1">
      <c r="A18" s="14" t="s">
        <v>19</v>
      </c>
      <c r="B18" s="15" t="s">
        <v>20</v>
      </c>
      <c r="C18" s="16">
        <v>1887000</v>
      </c>
      <c r="D18" s="16">
        <v>1889000</v>
      </c>
      <c r="E18" s="16">
        <v>1890000</v>
      </c>
      <c r="F18" s="10"/>
      <c r="G18" s="2"/>
      <c r="H18" s="2"/>
      <c r="I18" s="2"/>
      <c r="J18" s="2"/>
    </row>
    <row r="19" spans="1:10" ht="135" customHeight="1">
      <c r="A19" s="14" t="s">
        <v>21</v>
      </c>
      <c r="B19" s="15" t="s">
        <v>22</v>
      </c>
      <c r="C19" s="16">
        <v>8500000</v>
      </c>
      <c r="D19" s="16">
        <v>8500000</v>
      </c>
      <c r="E19" s="16">
        <v>8500000</v>
      </c>
      <c r="F19" s="10"/>
      <c r="G19" s="2"/>
      <c r="H19" s="2"/>
      <c r="I19" s="2"/>
      <c r="J19" s="2"/>
    </row>
    <row r="20" spans="1:10" ht="47.25" customHeight="1">
      <c r="A20" s="14" t="s">
        <v>23</v>
      </c>
      <c r="B20" s="17" t="s">
        <v>24</v>
      </c>
      <c r="C20" s="13">
        <f>SUM(C21:C24)</f>
        <v>10413470</v>
      </c>
      <c r="D20" s="13">
        <f>SUM(D21:D24)</f>
        <v>11302330</v>
      </c>
      <c r="E20" s="13">
        <f>SUM(E21:E24)</f>
        <v>12208870</v>
      </c>
      <c r="F20" s="10"/>
      <c r="G20" s="2"/>
      <c r="H20" s="2"/>
      <c r="I20" s="2"/>
      <c r="J20" s="2"/>
    </row>
    <row r="21" spans="1:10" ht="45" customHeight="1">
      <c r="A21" s="14" t="s">
        <v>25</v>
      </c>
      <c r="B21" s="15" t="s">
        <v>26</v>
      </c>
      <c r="C21" s="16">
        <v>4781490</v>
      </c>
      <c r="D21" s="16">
        <v>5195890</v>
      </c>
      <c r="E21" s="16">
        <v>5652490</v>
      </c>
      <c r="F21" s="10"/>
      <c r="G21" s="2"/>
      <c r="H21" s="2"/>
      <c r="I21" s="2"/>
      <c r="J21" s="18"/>
    </row>
    <row r="22" spans="1:10" ht="75" customHeight="1">
      <c r="A22" s="14" t="s">
        <v>27</v>
      </c>
      <c r="B22" s="15" t="s">
        <v>28</v>
      </c>
      <c r="C22" s="16">
        <v>27250</v>
      </c>
      <c r="D22" s="16">
        <v>29320</v>
      </c>
      <c r="E22" s="16">
        <v>31570</v>
      </c>
      <c r="F22" s="10"/>
      <c r="G22" s="2"/>
      <c r="H22" s="2"/>
      <c r="I22" s="2"/>
      <c r="J22" s="18"/>
    </row>
    <row r="23" spans="1:10" ht="75" customHeight="1">
      <c r="A23" s="14" t="s">
        <v>29</v>
      </c>
      <c r="B23" s="15" t="s">
        <v>30</v>
      </c>
      <c r="C23" s="16">
        <v>6289770</v>
      </c>
      <c r="D23" s="16">
        <v>6817280</v>
      </c>
      <c r="E23" s="16">
        <v>7392600</v>
      </c>
      <c r="F23" s="10"/>
      <c r="G23" s="2"/>
      <c r="H23" s="2"/>
      <c r="I23" s="2"/>
      <c r="J23" s="18"/>
    </row>
    <row r="24" spans="1:10" ht="75" customHeight="1">
      <c r="A24" s="14" t="s">
        <v>31</v>
      </c>
      <c r="B24" s="15" t="s">
        <v>32</v>
      </c>
      <c r="C24" s="16">
        <v>-685040</v>
      </c>
      <c r="D24" s="16">
        <v>-740160</v>
      </c>
      <c r="E24" s="16">
        <v>-867790</v>
      </c>
      <c r="F24" s="10"/>
      <c r="G24" s="2"/>
      <c r="H24" s="2"/>
      <c r="I24" s="2"/>
      <c r="J24" s="18"/>
    </row>
    <row r="25" spans="1:10" ht="15.75" customHeight="1">
      <c r="A25" s="11" t="s">
        <v>33</v>
      </c>
      <c r="B25" s="12" t="s">
        <v>34</v>
      </c>
      <c r="C25" s="13">
        <f>C26+C29+C30</f>
        <v>104067700</v>
      </c>
      <c r="D25" s="13">
        <f>D26+D29+D30</f>
        <v>106850700</v>
      </c>
      <c r="E25" s="13">
        <f>E26+E29+E30</f>
        <v>109252200</v>
      </c>
      <c r="F25" s="10"/>
      <c r="G25" s="2"/>
      <c r="H25" s="2"/>
      <c r="I25" s="2"/>
      <c r="J25" s="2"/>
    </row>
    <row r="26" spans="1:10" ht="30" customHeight="1">
      <c r="A26" s="19" t="s">
        <v>35</v>
      </c>
      <c r="B26" s="20" t="s">
        <v>36</v>
      </c>
      <c r="C26" s="16">
        <f>C27+C28</f>
        <v>100068000</v>
      </c>
      <c r="D26" s="16">
        <f>D27+D28</f>
        <v>102715000</v>
      </c>
      <c r="E26" s="16">
        <f>E27+E28</f>
        <v>105000000</v>
      </c>
      <c r="F26" s="10"/>
      <c r="G26" s="2"/>
      <c r="H26" s="2"/>
      <c r="I26" s="2"/>
      <c r="J26" s="2"/>
    </row>
    <row r="27" spans="1:10" ht="45" customHeight="1">
      <c r="A27" s="14" t="s">
        <v>37</v>
      </c>
      <c r="B27" s="15" t="s">
        <v>38</v>
      </c>
      <c r="C27" s="16">
        <v>73545000</v>
      </c>
      <c r="D27" s="16">
        <v>76192000</v>
      </c>
      <c r="E27" s="16">
        <v>78477000</v>
      </c>
      <c r="F27" s="10"/>
      <c r="G27" s="2"/>
      <c r="H27" s="2"/>
      <c r="I27" s="2"/>
      <c r="J27" s="2"/>
    </row>
    <row r="28" spans="1:10" ht="88.5" customHeight="1">
      <c r="A28" s="14" t="s">
        <v>39</v>
      </c>
      <c r="B28" s="14" t="s">
        <v>40</v>
      </c>
      <c r="C28" s="21">
        <v>26523000</v>
      </c>
      <c r="D28" s="21">
        <v>26523000</v>
      </c>
      <c r="E28" s="21">
        <v>26523000</v>
      </c>
      <c r="F28" s="10"/>
      <c r="G28" s="2"/>
      <c r="H28" s="2"/>
      <c r="I28" s="2"/>
      <c r="J28" s="2"/>
    </row>
    <row r="29" spans="1:10" ht="30" customHeight="1">
      <c r="A29" s="14" t="s">
        <v>41</v>
      </c>
      <c r="B29" s="15" t="s">
        <v>42</v>
      </c>
      <c r="C29" s="16">
        <v>255700</v>
      </c>
      <c r="D29" s="16">
        <v>256700</v>
      </c>
      <c r="E29" s="16">
        <v>257200</v>
      </c>
      <c r="F29" s="10"/>
      <c r="G29" s="2"/>
      <c r="H29" s="2"/>
      <c r="I29" s="2"/>
      <c r="J29" s="2"/>
    </row>
    <row r="30" spans="1:10" ht="75" customHeight="1">
      <c r="A30" s="14" t="s">
        <v>43</v>
      </c>
      <c r="B30" s="15" t="s">
        <v>44</v>
      </c>
      <c r="C30" s="16">
        <v>3744000</v>
      </c>
      <c r="D30" s="16">
        <v>3879000</v>
      </c>
      <c r="E30" s="16">
        <v>3995000</v>
      </c>
      <c r="F30" s="10"/>
      <c r="G30" s="2"/>
      <c r="H30" s="2"/>
      <c r="I30" s="2"/>
      <c r="J30" s="2"/>
    </row>
    <row r="31" spans="1:10" ht="15.75" customHeight="1">
      <c r="A31" s="22" t="s">
        <v>45</v>
      </c>
      <c r="B31" s="17" t="s">
        <v>46</v>
      </c>
      <c r="C31" s="13">
        <f>C32+C33</f>
        <v>168000</v>
      </c>
      <c r="D31" s="13">
        <f>D32+D33</f>
        <v>168000</v>
      </c>
      <c r="E31" s="13">
        <f>E32+E33</f>
        <v>168000</v>
      </c>
      <c r="F31" s="10"/>
      <c r="G31" s="2"/>
      <c r="H31" s="2"/>
      <c r="I31" s="2"/>
      <c r="J31" s="2"/>
    </row>
    <row r="32" spans="1:10" ht="60" customHeight="1">
      <c r="A32" s="23" t="s">
        <v>47</v>
      </c>
      <c r="B32" s="15" t="s">
        <v>48</v>
      </c>
      <c r="C32" s="16">
        <v>145000</v>
      </c>
      <c r="D32" s="16">
        <v>145000</v>
      </c>
      <c r="E32" s="16">
        <v>145000</v>
      </c>
      <c r="F32" s="10"/>
      <c r="G32" s="2"/>
      <c r="H32" s="2"/>
      <c r="I32" s="2"/>
      <c r="J32" s="2"/>
    </row>
    <row r="33" spans="1:10" ht="60" customHeight="1">
      <c r="A33" s="23" t="s">
        <v>49</v>
      </c>
      <c r="B33" s="15" t="s">
        <v>50</v>
      </c>
      <c r="C33" s="16">
        <v>23000</v>
      </c>
      <c r="D33" s="16">
        <v>23000</v>
      </c>
      <c r="E33" s="16">
        <v>23000</v>
      </c>
      <c r="F33" s="10"/>
      <c r="G33" s="2"/>
      <c r="H33" s="2"/>
      <c r="I33" s="2"/>
      <c r="J33" s="2"/>
    </row>
    <row r="34" spans="1:10" ht="31.5" customHeight="1">
      <c r="A34" s="11" t="s">
        <v>51</v>
      </c>
      <c r="B34" s="12" t="s">
        <v>52</v>
      </c>
      <c r="C34" s="13">
        <f>C35</f>
        <v>42895000</v>
      </c>
      <c r="D34" s="13">
        <f>D35</f>
        <v>42384000</v>
      </c>
      <c r="E34" s="13">
        <f>E35</f>
        <v>46352000</v>
      </c>
      <c r="F34" s="10"/>
      <c r="G34" s="2"/>
      <c r="H34" s="2"/>
      <c r="I34" s="2"/>
      <c r="J34" s="2"/>
    </row>
    <row r="35" spans="1:10" ht="45" customHeight="1">
      <c r="A35" s="14" t="s">
        <v>53</v>
      </c>
      <c r="B35" s="15" t="s">
        <v>54</v>
      </c>
      <c r="C35" s="16">
        <v>42895000</v>
      </c>
      <c r="D35" s="16">
        <v>42384000</v>
      </c>
      <c r="E35" s="16">
        <v>46352000</v>
      </c>
      <c r="F35" s="10"/>
      <c r="G35" s="2"/>
      <c r="H35" s="2"/>
      <c r="I35" s="2"/>
      <c r="J35" s="2"/>
    </row>
    <row r="36" spans="1:10" ht="15.75" customHeight="1">
      <c r="A36" s="11" t="s">
        <v>55</v>
      </c>
      <c r="B36" s="12" t="s">
        <v>56</v>
      </c>
      <c r="C36" s="13">
        <f>C37+C38</f>
        <v>7296000</v>
      </c>
      <c r="D36" s="13">
        <f>D37+D38</f>
        <v>7554000</v>
      </c>
      <c r="E36" s="13">
        <f>E37+E38</f>
        <v>7777000</v>
      </c>
      <c r="F36" s="10"/>
      <c r="G36" s="2"/>
      <c r="H36" s="2"/>
      <c r="I36" s="2"/>
      <c r="J36" s="2"/>
    </row>
    <row r="37" spans="1:10" ht="90" customHeight="1">
      <c r="A37" s="14" t="s">
        <v>57</v>
      </c>
      <c r="B37" s="15" t="s">
        <v>58</v>
      </c>
      <c r="C37" s="16">
        <v>7176000</v>
      </c>
      <c r="D37" s="16">
        <v>7434000</v>
      </c>
      <c r="E37" s="16">
        <v>7657000</v>
      </c>
      <c r="F37" s="10"/>
      <c r="G37" s="2"/>
      <c r="H37" s="2"/>
      <c r="I37" s="2"/>
      <c r="J37" s="2"/>
    </row>
    <row r="38" spans="1:10" ht="45" customHeight="1">
      <c r="A38" s="14" t="s">
        <v>59</v>
      </c>
      <c r="B38" s="15" t="s">
        <v>60</v>
      </c>
      <c r="C38" s="16">
        <v>120000</v>
      </c>
      <c r="D38" s="16">
        <v>120000</v>
      </c>
      <c r="E38" s="16">
        <v>120000</v>
      </c>
      <c r="F38" s="10"/>
      <c r="G38" s="2"/>
      <c r="H38" s="2"/>
      <c r="I38" s="2"/>
      <c r="J38" s="2"/>
    </row>
    <row r="39" spans="1:10" ht="63" customHeight="1">
      <c r="A39" s="11" t="s">
        <v>61</v>
      </c>
      <c r="B39" s="12" t="s">
        <v>62</v>
      </c>
      <c r="C39" s="13">
        <f>C40+C41</f>
        <v>335358415.16</v>
      </c>
      <c r="D39" s="13">
        <f>D40+D41</f>
        <v>221310000</v>
      </c>
      <c r="E39" s="13">
        <f>E40+E41</f>
        <v>221310000</v>
      </c>
      <c r="F39" s="10"/>
      <c r="G39" s="2"/>
      <c r="H39" s="2"/>
      <c r="I39" s="2"/>
      <c r="J39" s="2"/>
    </row>
    <row r="40" spans="1:10" ht="90" customHeight="1">
      <c r="A40" s="14" t="s">
        <v>63</v>
      </c>
      <c r="B40" s="15" t="s">
        <v>64</v>
      </c>
      <c r="C40" s="16">
        <f>193680130+37617492.03+11979845.78+46466211.55+7018235.8</f>
        <v>296761915.16</v>
      </c>
      <c r="D40" s="16">
        <v>185600000</v>
      </c>
      <c r="E40" s="16">
        <v>185600000</v>
      </c>
      <c r="F40" s="10"/>
      <c r="G40" s="2"/>
      <c r="H40" s="2"/>
      <c r="I40" s="2"/>
      <c r="J40" s="2"/>
    </row>
    <row r="41" spans="1:10" ht="126" customHeight="1">
      <c r="A41" s="11" t="s">
        <v>65</v>
      </c>
      <c r="B41" s="12" t="s">
        <v>66</v>
      </c>
      <c r="C41" s="13">
        <f>C42+C43+C44+C46+C45</f>
        <v>38596500</v>
      </c>
      <c r="D41" s="13">
        <f>D42+D43+D44+D46+D45</f>
        <v>35710000</v>
      </c>
      <c r="E41" s="13">
        <f>E42+E43+E44+E46+E45</f>
        <v>35710000</v>
      </c>
      <c r="F41" s="10"/>
      <c r="G41" s="2"/>
      <c r="H41" s="2"/>
      <c r="I41" s="2"/>
      <c r="J41" s="2"/>
    </row>
    <row r="42" spans="1:10" ht="116.25" customHeight="1">
      <c r="A42" s="14" t="s">
        <v>67</v>
      </c>
      <c r="B42" s="15" t="s">
        <v>68</v>
      </c>
      <c r="C42" s="16">
        <v>4000000</v>
      </c>
      <c r="D42" s="16">
        <v>4000000</v>
      </c>
      <c r="E42" s="16">
        <v>4000000</v>
      </c>
      <c r="F42" s="10"/>
      <c r="G42" s="2"/>
      <c r="H42" s="2"/>
      <c r="I42" s="2"/>
      <c r="J42" s="2"/>
    </row>
    <row r="43" spans="1:10" ht="120" customHeight="1">
      <c r="A43" s="14" t="s">
        <v>69</v>
      </c>
      <c r="B43" s="15" t="s">
        <v>70</v>
      </c>
      <c r="C43" s="16">
        <v>29952500</v>
      </c>
      <c r="D43" s="16">
        <v>27066000</v>
      </c>
      <c r="E43" s="16">
        <v>27066000</v>
      </c>
      <c r="F43" s="10"/>
      <c r="G43" s="2"/>
      <c r="H43" s="2"/>
      <c r="I43" s="2"/>
      <c r="J43" s="2"/>
    </row>
    <row r="44" spans="1:10" ht="135" customHeight="1">
      <c r="A44" s="14" t="s">
        <v>71</v>
      </c>
      <c r="B44" s="15" t="s">
        <v>72</v>
      </c>
      <c r="C44" s="16">
        <v>1627000</v>
      </c>
      <c r="D44" s="16">
        <v>1627000</v>
      </c>
      <c r="E44" s="16">
        <v>1627000</v>
      </c>
      <c r="F44" s="10"/>
      <c r="G44" s="2"/>
      <c r="H44" s="2"/>
      <c r="I44" s="2"/>
      <c r="J44" s="2"/>
    </row>
    <row r="45" spans="1:10" ht="90" customHeight="1">
      <c r="A45" s="14" t="s">
        <v>73</v>
      </c>
      <c r="B45" s="15" t="s">
        <v>74</v>
      </c>
      <c r="C45" s="16">
        <v>17000</v>
      </c>
      <c r="D45" s="16">
        <v>17000</v>
      </c>
      <c r="E45" s="16">
        <v>17000</v>
      </c>
      <c r="F45" s="10"/>
      <c r="G45" s="2"/>
      <c r="H45" s="2"/>
      <c r="I45" s="2"/>
      <c r="J45" s="2"/>
    </row>
    <row r="46" spans="1:10" ht="60" customHeight="1">
      <c r="A46" s="14" t="s">
        <v>75</v>
      </c>
      <c r="B46" s="15" t="s">
        <v>76</v>
      </c>
      <c r="C46" s="16">
        <v>3000000</v>
      </c>
      <c r="D46" s="16">
        <v>3000000</v>
      </c>
      <c r="E46" s="16">
        <v>3000000</v>
      </c>
      <c r="F46" s="10"/>
      <c r="G46" s="2"/>
      <c r="H46" s="2"/>
      <c r="I46" s="2"/>
      <c r="J46" s="2"/>
    </row>
    <row r="47" spans="1:10" ht="31.5" customHeight="1">
      <c r="A47" s="11" t="s">
        <v>77</v>
      </c>
      <c r="B47" s="12" t="s">
        <v>78</v>
      </c>
      <c r="C47" s="13">
        <f>C48+C49+C50</f>
        <v>6420600</v>
      </c>
      <c r="D47" s="13">
        <f>D48+D49+D50</f>
        <v>6439200</v>
      </c>
      <c r="E47" s="13">
        <f>E48+E49+E50</f>
        <v>6439200</v>
      </c>
      <c r="F47" s="10"/>
      <c r="G47" s="2"/>
      <c r="H47" s="2"/>
      <c r="I47" s="2"/>
      <c r="J47" s="2"/>
    </row>
    <row r="48" spans="1:10" ht="45" customHeight="1">
      <c r="A48" s="14" t="s">
        <v>79</v>
      </c>
      <c r="B48" s="15" t="s">
        <v>80</v>
      </c>
      <c r="C48" s="16">
        <v>1319200</v>
      </c>
      <c r="D48" s="16">
        <v>1323000</v>
      </c>
      <c r="E48" s="16">
        <v>1323000</v>
      </c>
      <c r="F48" s="10"/>
      <c r="G48" s="2"/>
      <c r="H48" s="2"/>
      <c r="I48" s="2"/>
      <c r="J48" s="2"/>
    </row>
    <row r="49" spans="1:10" ht="45" customHeight="1">
      <c r="A49" s="14" t="s">
        <v>81</v>
      </c>
      <c r="B49" s="15" t="s">
        <v>82</v>
      </c>
      <c r="C49" s="16">
        <v>29600</v>
      </c>
      <c r="D49" s="16">
        <v>29700</v>
      </c>
      <c r="E49" s="16">
        <v>29700</v>
      </c>
      <c r="F49" s="10"/>
      <c r="G49" s="2"/>
      <c r="H49" s="2"/>
      <c r="I49" s="2"/>
      <c r="J49" s="2"/>
    </row>
    <row r="50" spans="1:10" ht="45" customHeight="1">
      <c r="A50" s="14" t="s">
        <v>83</v>
      </c>
      <c r="B50" s="15" t="s">
        <v>84</v>
      </c>
      <c r="C50" s="16">
        <f>4991000+16700+63300+800</f>
        <v>5071800</v>
      </c>
      <c r="D50" s="16">
        <f aca="true" t="shared" si="0" ref="D50:E50">5005400+16700+63500+900</f>
        <v>5086500</v>
      </c>
      <c r="E50" s="16">
        <f t="shared" si="0"/>
        <v>5086500</v>
      </c>
      <c r="F50" s="10"/>
      <c r="G50" s="2"/>
      <c r="H50" s="2"/>
      <c r="I50" s="2"/>
      <c r="J50" s="2"/>
    </row>
    <row r="51" spans="1:10" ht="47.25" customHeight="1">
      <c r="A51" s="11" t="s">
        <v>85</v>
      </c>
      <c r="B51" s="12" t="s">
        <v>86</v>
      </c>
      <c r="C51" s="13">
        <f>C52</f>
        <v>54300062.67</v>
      </c>
      <c r="D51" s="13">
        <f>D52</f>
        <v>53433860</v>
      </c>
      <c r="E51" s="13">
        <f>E52</f>
        <v>53446660</v>
      </c>
      <c r="F51" s="10"/>
      <c r="G51" s="2"/>
      <c r="H51" s="2"/>
      <c r="I51" s="2"/>
      <c r="J51" s="2"/>
    </row>
    <row r="52" spans="1:10" ht="31.5" customHeight="1">
      <c r="A52" s="11" t="s">
        <v>87</v>
      </c>
      <c r="B52" s="12" t="s">
        <v>88</v>
      </c>
      <c r="C52" s="13">
        <f>SUM(C53:C74)</f>
        <v>54300062.67</v>
      </c>
      <c r="D52" s="13">
        <f>SUM(D53:D74)</f>
        <v>53433860</v>
      </c>
      <c r="E52" s="13">
        <f>SUM(E53:E74)</f>
        <v>53446660</v>
      </c>
      <c r="F52" s="10"/>
      <c r="G52" s="2"/>
      <c r="H52" s="2"/>
      <c r="I52" s="2"/>
      <c r="J52" s="2"/>
    </row>
    <row r="53" spans="1:10" ht="60" customHeight="1">
      <c r="A53" s="14" t="s">
        <v>89</v>
      </c>
      <c r="B53" s="24" t="s">
        <v>90</v>
      </c>
      <c r="C53" s="16">
        <v>144000</v>
      </c>
      <c r="D53" s="16">
        <v>144000</v>
      </c>
      <c r="E53" s="16">
        <v>144000</v>
      </c>
      <c r="F53" s="10"/>
      <c r="G53" s="2"/>
      <c r="H53" s="2"/>
      <c r="I53" s="2"/>
      <c r="J53" s="2"/>
    </row>
    <row r="54" spans="1:10" ht="45" customHeight="1">
      <c r="A54" s="14" t="s">
        <v>91</v>
      </c>
      <c r="B54" s="24" t="s">
        <v>92</v>
      </c>
      <c r="C54" s="16">
        <v>79200</v>
      </c>
      <c r="D54" s="16">
        <v>79200</v>
      </c>
      <c r="E54" s="16">
        <v>79200</v>
      </c>
      <c r="F54" s="10"/>
      <c r="G54" s="2"/>
      <c r="H54" s="2"/>
      <c r="I54" s="2"/>
      <c r="J54" s="2"/>
    </row>
    <row r="55" spans="1:10" ht="45" customHeight="1">
      <c r="A55" s="14" t="s">
        <v>93</v>
      </c>
      <c r="B55" s="15" t="s">
        <v>94</v>
      </c>
      <c r="C55" s="16">
        <v>4409600</v>
      </c>
      <c r="D55" s="16">
        <v>4409600</v>
      </c>
      <c r="E55" s="16">
        <v>4409600</v>
      </c>
      <c r="F55" s="10"/>
      <c r="G55" s="2"/>
      <c r="H55" s="2"/>
      <c r="I55" s="2"/>
      <c r="J55" s="2"/>
    </row>
    <row r="56" spans="1:10" ht="45" customHeight="1">
      <c r="A56" s="14" t="s">
        <v>95</v>
      </c>
      <c r="B56" s="24" t="s">
        <v>96</v>
      </c>
      <c r="C56" s="16">
        <v>72000</v>
      </c>
      <c r="D56" s="16">
        <v>72000</v>
      </c>
      <c r="E56" s="16">
        <v>72000</v>
      </c>
      <c r="F56" s="10"/>
      <c r="G56" s="2"/>
      <c r="H56" s="2"/>
      <c r="I56" s="2"/>
      <c r="J56" s="2"/>
    </row>
    <row r="57" spans="1:10" ht="60" customHeight="1">
      <c r="A57" s="14" t="s">
        <v>97</v>
      </c>
      <c r="B57" s="24" t="s">
        <v>98</v>
      </c>
      <c r="C57" s="16">
        <v>62640</v>
      </c>
      <c r="D57" s="16">
        <v>62640</v>
      </c>
      <c r="E57" s="16">
        <v>62640</v>
      </c>
      <c r="F57" s="10"/>
      <c r="G57" s="2"/>
      <c r="H57" s="2"/>
      <c r="I57" s="2"/>
      <c r="J57" s="2"/>
    </row>
    <row r="58" spans="1:10" ht="45" customHeight="1">
      <c r="A58" s="14" t="s">
        <v>99</v>
      </c>
      <c r="B58" s="15" t="s">
        <v>100</v>
      </c>
      <c r="C58" s="16">
        <v>4052480</v>
      </c>
      <c r="D58" s="16">
        <v>4052480</v>
      </c>
      <c r="E58" s="16">
        <v>4052480</v>
      </c>
      <c r="F58" s="10"/>
      <c r="G58" s="2"/>
      <c r="H58" s="2"/>
      <c r="I58" s="2"/>
      <c r="J58" s="2"/>
    </row>
    <row r="59" spans="1:10" ht="60" customHeight="1">
      <c r="A59" s="14" t="s">
        <v>101</v>
      </c>
      <c r="B59" s="15" t="s">
        <v>102</v>
      </c>
      <c r="C59" s="16">
        <v>209520</v>
      </c>
      <c r="D59" s="16">
        <v>209520</v>
      </c>
      <c r="E59" s="16">
        <v>209520</v>
      </c>
      <c r="F59" s="10"/>
      <c r="G59" s="2"/>
      <c r="H59" s="2"/>
      <c r="I59" s="2"/>
      <c r="J59" s="2"/>
    </row>
    <row r="60" spans="1:10" ht="60" customHeight="1">
      <c r="A60" s="14" t="s">
        <v>103</v>
      </c>
      <c r="B60" s="15" t="s">
        <v>104</v>
      </c>
      <c r="C60" s="16">
        <v>118080</v>
      </c>
      <c r="D60" s="16">
        <v>118080</v>
      </c>
      <c r="E60" s="16">
        <v>118080</v>
      </c>
      <c r="F60" s="10"/>
      <c r="G60" s="2"/>
      <c r="H60" s="2"/>
      <c r="I60" s="2"/>
      <c r="J60" s="2"/>
    </row>
    <row r="61" spans="1:10" ht="60" customHeight="1">
      <c r="A61" s="14" t="s">
        <v>105</v>
      </c>
      <c r="B61" s="15" t="s">
        <v>106</v>
      </c>
      <c r="C61" s="16">
        <v>86400</v>
      </c>
      <c r="D61" s="16">
        <v>86400</v>
      </c>
      <c r="E61" s="16">
        <v>86400</v>
      </c>
      <c r="F61" s="10"/>
      <c r="G61" s="2"/>
      <c r="H61" s="2"/>
      <c r="I61" s="2"/>
      <c r="J61" s="2"/>
    </row>
    <row r="62" spans="1:10" ht="45" customHeight="1">
      <c r="A62" s="14" t="s">
        <v>107</v>
      </c>
      <c r="B62" s="15" t="s">
        <v>108</v>
      </c>
      <c r="C62" s="16">
        <v>413200</v>
      </c>
      <c r="D62" s="16">
        <v>428100</v>
      </c>
      <c r="E62" s="16">
        <v>440900</v>
      </c>
      <c r="F62" s="10"/>
      <c r="G62" s="2"/>
      <c r="H62" s="2"/>
      <c r="I62" s="2"/>
      <c r="J62" s="2"/>
    </row>
    <row r="63" spans="1:10" ht="45" customHeight="1">
      <c r="A63" s="14" t="s">
        <v>109</v>
      </c>
      <c r="B63" s="15" t="s">
        <v>110</v>
      </c>
      <c r="C63" s="16">
        <f>4810240+480502.67</f>
        <v>5290742.67</v>
      </c>
      <c r="D63" s="16">
        <v>4810240</v>
      </c>
      <c r="E63" s="16">
        <v>4810240</v>
      </c>
      <c r="F63" s="10"/>
      <c r="G63" s="2"/>
      <c r="H63" s="2"/>
      <c r="I63" s="2"/>
      <c r="J63" s="2"/>
    </row>
    <row r="64" spans="1:10" ht="45" customHeight="1">
      <c r="A64" s="14" t="s">
        <v>111</v>
      </c>
      <c r="B64" s="15" t="s">
        <v>112</v>
      </c>
      <c r="C64" s="16">
        <v>4442880</v>
      </c>
      <c r="D64" s="16">
        <v>4442880</v>
      </c>
      <c r="E64" s="16">
        <v>4442880</v>
      </c>
      <c r="F64" s="10"/>
      <c r="G64" s="2"/>
      <c r="H64" s="2"/>
      <c r="I64" s="2"/>
      <c r="J64" s="2"/>
    </row>
    <row r="65" spans="1:10" ht="45" customHeight="1">
      <c r="A65" s="14" t="s">
        <v>113</v>
      </c>
      <c r="B65" s="15" t="s">
        <v>114</v>
      </c>
      <c r="C65" s="16">
        <v>400600</v>
      </c>
      <c r="D65" s="16"/>
      <c r="E65" s="16"/>
      <c r="F65" s="10"/>
      <c r="G65" s="2"/>
      <c r="H65" s="2"/>
      <c r="I65" s="2"/>
      <c r="J65" s="2"/>
    </row>
    <row r="66" spans="1:10" ht="45" customHeight="1">
      <c r="A66" s="14" t="s">
        <v>115</v>
      </c>
      <c r="B66" s="15" t="s">
        <v>116</v>
      </c>
      <c r="C66" s="16">
        <v>2348800</v>
      </c>
      <c r="D66" s="16">
        <v>2348800</v>
      </c>
      <c r="E66" s="16">
        <v>2348800</v>
      </c>
      <c r="F66" s="10"/>
      <c r="G66" s="2"/>
      <c r="H66" s="2"/>
      <c r="I66" s="2"/>
      <c r="J66" s="2"/>
    </row>
    <row r="67" spans="1:10" ht="60" customHeight="1">
      <c r="A67" s="14" t="s">
        <v>117</v>
      </c>
      <c r="B67" s="15" t="s">
        <v>118</v>
      </c>
      <c r="C67" s="16">
        <v>414720</v>
      </c>
      <c r="D67" s="16">
        <v>414720</v>
      </c>
      <c r="E67" s="16">
        <v>414720</v>
      </c>
      <c r="F67" s="10"/>
      <c r="G67" s="2"/>
      <c r="H67" s="2"/>
      <c r="I67" s="2"/>
      <c r="J67" s="2"/>
    </row>
    <row r="68" spans="1:10" ht="45" customHeight="1">
      <c r="A68" s="14" t="s">
        <v>119</v>
      </c>
      <c r="B68" s="15" t="s">
        <v>120</v>
      </c>
      <c r="C68" s="16">
        <v>7385600</v>
      </c>
      <c r="D68" s="16">
        <v>7385600</v>
      </c>
      <c r="E68" s="16">
        <v>7385600</v>
      </c>
      <c r="F68" s="10"/>
      <c r="G68" s="2"/>
      <c r="H68" s="2"/>
      <c r="I68" s="2"/>
      <c r="J68" s="2"/>
    </row>
    <row r="69" spans="1:10" ht="45" customHeight="1">
      <c r="A69" s="14" t="s">
        <v>121</v>
      </c>
      <c r="B69" s="15" t="s">
        <v>122</v>
      </c>
      <c r="C69" s="16">
        <v>3353600</v>
      </c>
      <c r="D69" s="16">
        <v>3353600</v>
      </c>
      <c r="E69" s="16">
        <v>3353600</v>
      </c>
      <c r="F69" s="10"/>
      <c r="G69" s="2"/>
      <c r="H69" s="2"/>
      <c r="I69" s="2"/>
      <c r="J69" s="2"/>
    </row>
    <row r="70" spans="1:10" ht="45" customHeight="1">
      <c r="A70" s="14" t="s">
        <v>123</v>
      </c>
      <c r="B70" s="15" t="s">
        <v>124</v>
      </c>
      <c r="C70" s="16">
        <v>5651200</v>
      </c>
      <c r="D70" s="16">
        <v>5651200</v>
      </c>
      <c r="E70" s="16">
        <v>5651200</v>
      </c>
      <c r="F70" s="10"/>
      <c r="G70" s="2"/>
      <c r="H70" s="2"/>
      <c r="I70" s="2"/>
      <c r="J70" s="2"/>
    </row>
    <row r="71" spans="1:10" ht="45" customHeight="1">
      <c r="A71" s="14" t="s">
        <v>125</v>
      </c>
      <c r="B71" s="15" t="s">
        <v>126</v>
      </c>
      <c r="C71" s="16">
        <v>5945600</v>
      </c>
      <c r="D71" s="16">
        <v>5945600</v>
      </c>
      <c r="E71" s="16">
        <v>5945600</v>
      </c>
      <c r="F71" s="10"/>
      <c r="G71" s="2"/>
      <c r="H71" s="2"/>
      <c r="I71" s="2"/>
      <c r="J71" s="2"/>
    </row>
    <row r="72" spans="1:10" ht="60" customHeight="1">
      <c r="A72" s="14" t="s">
        <v>127</v>
      </c>
      <c r="B72" s="15" t="s">
        <v>128</v>
      </c>
      <c r="C72" s="16">
        <v>638400</v>
      </c>
      <c r="D72" s="16">
        <v>638400</v>
      </c>
      <c r="E72" s="16">
        <v>638400</v>
      </c>
      <c r="F72" s="10"/>
      <c r="G72" s="2"/>
      <c r="H72" s="2"/>
      <c r="I72" s="2"/>
      <c r="J72" s="2"/>
    </row>
    <row r="73" spans="1:10" ht="45" customHeight="1">
      <c r="A73" s="14" t="s">
        <v>129</v>
      </c>
      <c r="B73" s="15" t="s">
        <v>130</v>
      </c>
      <c r="C73" s="16">
        <v>3827200</v>
      </c>
      <c r="D73" s="16">
        <v>3827200</v>
      </c>
      <c r="E73" s="16">
        <v>3827200</v>
      </c>
      <c r="F73" s="10"/>
      <c r="G73" s="2"/>
      <c r="H73" s="2"/>
      <c r="I73" s="2"/>
      <c r="J73" s="2"/>
    </row>
    <row r="74" spans="1:10" ht="45" customHeight="1">
      <c r="A74" s="14" t="s">
        <v>131</v>
      </c>
      <c r="B74" s="15" t="s">
        <v>132</v>
      </c>
      <c r="C74" s="16">
        <v>4953600</v>
      </c>
      <c r="D74" s="16">
        <v>4953600</v>
      </c>
      <c r="E74" s="16">
        <v>4953600</v>
      </c>
      <c r="F74" s="10"/>
      <c r="G74" s="2"/>
      <c r="H74" s="2"/>
      <c r="I74" s="2"/>
      <c r="J74" s="2"/>
    </row>
    <row r="75" spans="1:10" ht="47.25" customHeight="1">
      <c r="A75" s="11" t="s">
        <v>133</v>
      </c>
      <c r="B75" s="12" t="s">
        <v>134</v>
      </c>
      <c r="C75" s="13">
        <f>C76+C78</f>
        <v>2395000</v>
      </c>
      <c r="D75" s="13">
        <f>D76+D78</f>
        <v>1990000</v>
      </c>
      <c r="E75" s="13">
        <f>E76+E78</f>
        <v>1990000</v>
      </c>
      <c r="F75" s="10"/>
      <c r="G75" s="2"/>
      <c r="H75" s="2"/>
      <c r="I75" s="2"/>
      <c r="J75" s="2"/>
    </row>
    <row r="76" spans="1:10" ht="126" customHeight="1">
      <c r="A76" s="11" t="s">
        <v>135</v>
      </c>
      <c r="B76" s="12" t="s">
        <v>136</v>
      </c>
      <c r="C76" s="13">
        <f>C77</f>
        <v>1515000</v>
      </c>
      <c r="D76" s="13">
        <f>D77</f>
        <v>1110000</v>
      </c>
      <c r="E76" s="13">
        <f>E77</f>
        <v>1110000</v>
      </c>
      <c r="F76" s="10"/>
      <c r="G76" s="2"/>
      <c r="H76" s="2"/>
      <c r="I76" s="2"/>
      <c r="J76" s="2"/>
    </row>
    <row r="77" spans="1:10" ht="120.75" customHeight="1">
      <c r="A77" s="14" t="s">
        <v>137</v>
      </c>
      <c r="B77" s="20" t="s">
        <v>138</v>
      </c>
      <c r="C77" s="16">
        <v>1515000</v>
      </c>
      <c r="D77" s="16">
        <v>1110000</v>
      </c>
      <c r="E77" s="16">
        <v>1110000</v>
      </c>
      <c r="F77" s="10"/>
      <c r="G77" s="2"/>
      <c r="H77" s="2"/>
      <c r="I77" s="2"/>
      <c r="J77" s="2"/>
    </row>
    <row r="78" spans="1:10" ht="63" customHeight="1">
      <c r="A78" s="22" t="s">
        <v>139</v>
      </c>
      <c r="B78" s="12" t="s">
        <v>140</v>
      </c>
      <c r="C78" s="13">
        <f>C79+C80</f>
        <v>880000</v>
      </c>
      <c r="D78" s="13">
        <f>D79+D80</f>
        <v>880000</v>
      </c>
      <c r="E78" s="13">
        <f>E79+E80</f>
        <v>880000</v>
      </c>
      <c r="F78" s="10"/>
      <c r="G78" s="2"/>
      <c r="H78" s="2"/>
      <c r="I78" s="2"/>
      <c r="J78" s="2"/>
    </row>
    <row r="79" spans="1:10" ht="105" customHeight="1">
      <c r="A79" s="14" t="s">
        <v>141</v>
      </c>
      <c r="B79" s="15" t="s">
        <v>142</v>
      </c>
      <c r="C79" s="16">
        <v>100000</v>
      </c>
      <c r="D79" s="16">
        <v>100000</v>
      </c>
      <c r="E79" s="16">
        <v>100000</v>
      </c>
      <c r="F79" s="10"/>
      <c r="G79" s="2"/>
      <c r="H79" s="2"/>
      <c r="I79" s="2"/>
      <c r="J79" s="2"/>
    </row>
    <row r="80" spans="1:10" ht="75" customHeight="1">
      <c r="A80" s="14" t="s">
        <v>143</v>
      </c>
      <c r="B80" s="15" t="s">
        <v>144</v>
      </c>
      <c r="C80" s="16">
        <v>780000</v>
      </c>
      <c r="D80" s="16">
        <v>780000</v>
      </c>
      <c r="E80" s="16">
        <v>780000</v>
      </c>
      <c r="F80" s="10"/>
      <c r="G80" s="25"/>
      <c r="H80" s="2"/>
      <c r="I80" s="2"/>
      <c r="J80" s="2"/>
    </row>
    <row r="81" spans="1:10" ht="15.75" customHeight="1">
      <c r="A81" s="22" t="s">
        <v>145</v>
      </c>
      <c r="B81" s="17" t="s">
        <v>146</v>
      </c>
      <c r="C81" s="13">
        <f>C82</f>
        <v>200000</v>
      </c>
      <c r="D81" s="13">
        <f>D82</f>
        <v>200000</v>
      </c>
      <c r="E81" s="13">
        <f>E82</f>
        <v>200000</v>
      </c>
      <c r="F81" s="10"/>
      <c r="G81" s="2"/>
      <c r="H81" s="2"/>
      <c r="I81" s="2"/>
      <c r="J81" s="2"/>
    </row>
    <row r="82" spans="1:10" ht="30" customHeight="1">
      <c r="A82" s="14" t="s">
        <v>147</v>
      </c>
      <c r="B82" s="15" t="s">
        <v>148</v>
      </c>
      <c r="C82" s="16">
        <v>200000</v>
      </c>
      <c r="D82" s="16">
        <v>200000</v>
      </c>
      <c r="E82" s="16">
        <v>200000</v>
      </c>
      <c r="F82" s="10"/>
      <c r="G82" s="2"/>
      <c r="H82" s="2"/>
      <c r="I82" s="2"/>
      <c r="J82" s="2"/>
    </row>
    <row r="83" spans="1:10" ht="15.75" customHeight="1">
      <c r="A83" s="26"/>
      <c r="B83" s="27" t="s">
        <v>149</v>
      </c>
      <c r="C83" s="13">
        <f>C81+C75+C51+C47+C31+C39+C36+C34+C25+C15+C20</f>
        <v>2422207537.83</v>
      </c>
      <c r="D83" s="13">
        <f>D81+D75+D51+D47+D31+D39+D36+D34+D25+D15+D20</f>
        <v>2310952160</v>
      </c>
      <c r="E83" s="13">
        <f>E81+E75+E51+E47+E31+E39+E36+E34+E25+E15+E20</f>
        <v>2294199270</v>
      </c>
      <c r="F83" s="10"/>
      <c r="G83" s="2"/>
      <c r="H83" s="2"/>
      <c r="I83" s="2"/>
      <c r="J83" s="2"/>
    </row>
    <row r="84" spans="1:10" ht="15.75" customHeight="1">
      <c r="A84" s="11" t="s">
        <v>150</v>
      </c>
      <c r="B84" s="12" t="s">
        <v>151</v>
      </c>
      <c r="C84" s="13">
        <f>C85+C128+C131+C132+C130</f>
        <v>1637770364.07</v>
      </c>
      <c r="D84" s="13">
        <f>D85+D128+D131+D132</f>
        <v>1368247779.68</v>
      </c>
      <c r="E84" s="13">
        <f>E85+E128+E131+E132</f>
        <v>1338092379.68</v>
      </c>
      <c r="F84" s="10"/>
      <c r="G84" s="2"/>
      <c r="H84" s="2"/>
      <c r="I84" s="2"/>
      <c r="J84" s="2"/>
    </row>
    <row r="85" spans="1:10" ht="47.25" customHeight="1">
      <c r="A85" s="11" t="s">
        <v>152</v>
      </c>
      <c r="B85" s="12" t="s">
        <v>153</v>
      </c>
      <c r="C85" s="13">
        <f>C86+C89+C98+C126</f>
        <v>1610132156.37</v>
      </c>
      <c r="D85" s="13">
        <f>D86+D89+D98+D126</f>
        <v>1368247779.68</v>
      </c>
      <c r="E85" s="13">
        <f>E86+E89+E98+E126</f>
        <v>1338092379.68</v>
      </c>
      <c r="F85" s="10"/>
      <c r="G85" s="2"/>
      <c r="H85" s="2"/>
      <c r="I85" s="2"/>
      <c r="J85" s="2"/>
    </row>
    <row r="86" spans="1:10" ht="31.5" customHeight="1">
      <c r="A86" s="11" t="s">
        <v>154</v>
      </c>
      <c r="B86" s="12" t="s">
        <v>155</v>
      </c>
      <c r="C86" s="13">
        <f>C87+C88</f>
        <v>37175555</v>
      </c>
      <c r="D86" s="13">
        <f>D87+D88</f>
        <v>0</v>
      </c>
      <c r="E86" s="13">
        <f>E87+E88</f>
        <v>0</v>
      </c>
      <c r="F86" s="10"/>
      <c r="G86" s="2"/>
      <c r="H86" s="2"/>
      <c r="I86" s="2"/>
      <c r="J86" s="2"/>
    </row>
    <row r="87" spans="1:10" ht="30" customHeight="1">
      <c r="A87" s="19" t="s">
        <v>156</v>
      </c>
      <c r="B87" s="20" t="s">
        <v>157</v>
      </c>
      <c r="C87" s="28"/>
      <c r="D87" s="28"/>
      <c r="E87" s="29"/>
      <c r="F87" s="10"/>
      <c r="G87" s="2"/>
      <c r="H87" s="2"/>
      <c r="I87" s="2"/>
      <c r="J87" s="2"/>
    </row>
    <row r="88" spans="1:10" ht="64.5" customHeight="1">
      <c r="A88" s="19" t="s">
        <v>158</v>
      </c>
      <c r="B88" s="20" t="s">
        <v>159</v>
      </c>
      <c r="C88" s="28">
        <f>6671220+763559+6905090+22705486+130200</f>
        <v>37175555</v>
      </c>
      <c r="D88" s="16">
        <v>0</v>
      </c>
      <c r="E88" s="16">
        <v>0</v>
      </c>
      <c r="F88" s="10"/>
      <c r="G88" s="2"/>
      <c r="H88" s="2"/>
      <c r="I88" s="2"/>
      <c r="J88" s="2"/>
    </row>
    <row r="89" spans="1:10" ht="31.5" customHeight="1">
      <c r="A89" s="11" t="s">
        <v>160</v>
      </c>
      <c r="B89" s="12" t="s">
        <v>161</v>
      </c>
      <c r="C89" s="13">
        <f>SUM(C90:C97)</f>
        <v>63367132.05</v>
      </c>
      <c r="D89" s="13">
        <f>SUM(D90:D96)</f>
        <v>0</v>
      </c>
      <c r="E89" s="13">
        <f>SUM(E90:E96)</f>
        <v>0</v>
      </c>
      <c r="F89" s="10"/>
      <c r="G89" s="2"/>
      <c r="H89" s="2"/>
      <c r="I89" s="2"/>
      <c r="J89" s="2"/>
    </row>
    <row r="90" spans="1:10" ht="60" customHeight="1">
      <c r="A90" s="19" t="s">
        <v>162</v>
      </c>
      <c r="B90" s="20" t="s">
        <v>163</v>
      </c>
      <c r="C90" s="16">
        <v>25701120</v>
      </c>
      <c r="D90" s="16"/>
      <c r="E90" s="16"/>
      <c r="F90" s="10"/>
      <c r="G90" s="2"/>
      <c r="H90" s="2"/>
      <c r="I90" s="2"/>
      <c r="J90" s="2"/>
    </row>
    <row r="91" spans="1:10" ht="45" customHeight="1">
      <c r="A91" s="19" t="s">
        <v>164</v>
      </c>
      <c r="B91" s="20" t="s">
        <v>165</v>
      </c>
      <c r="C91" s="16">
        <v>18679752.05</v>
      </c>
      <c r="D91" s="16"/>
      <c r="E91" s="16"/>
      <c r="F91" s="10"/>
      <c r="G91" s="2"/>
      <c r="H91" s="2"/>
      <c r="I91" s="2"/>
      <c r="J91" s="2"/>
    </row>
    <row r="92" spans="1:10" ht="48" customHeight="1">
      <c r="A92" s="30" t="s">
        <v>166</v>
      </c>
      <c r="B92" s="20" t="s">
        <v>167</v>
      </c>
      <c r="C92" s="16">
        <v>4531900</v>
      </c>
      <c r="D92" s="16"/>
      <c r="E92" s="16"/>
      <c r="F92" s="10"/>
      <c r="G92" s="2"/>
      <c r="H92" s="2"/>
      <c r="I92" s="2"/>
      <c r="J92" s="2"/>
    </row>
    <row r="93" spans="1:10" ht="60" customHeight="1" hidden="1">
      <c r="A93" s="30" t="s">
        <v>168</v>
      </c>
      <c r="B93" s="20" t="s">
        <v>169</v>
      </c>
      <c r="C93" s="16"/>
      <c r="D93" s="16"/>
      <c r="E93" s="16"/>
      <c r="F93" s="10"/>
      <c r="G93" s="2"/>
      <c r="H93" s="2"/>
      <c r="I93" s="2"/>
      <c r="J93" s="2"/>
    </row>
    <row r="94" spans="1:10" ht="60" customHeight="1" hidden="1">
      <c r="A94" s="30" t="s">
        <v>170</v>
      </c>
      <c r="B94" s="20" t="s">
        <v>171</v>
      </c>
      <c r="C94" s="16"/>
      <c r="D94" s="16"/>
      <c r="E94" s="16"/>
      <c r="F94" s="10"/>
      <c r="G94" s="2"/>
      <c r="H94" s="2"/>
      <c r="I94" s="2"/>
      <c r="J94" s="2"/>
    </row>
    <row r="95" spans="1:10" ht="60" customHeight="1">
      <c r="A95" s="31" t="s">
        <v>172</v>
      </c>
      <c r="B95" s="20" t="s">
        <v>173</v>
      </c>
      <c r="C95" s="16">
        <v>3654360</v>
      </c>
      <c r="D95" s="16"/>
      <c r="E95" s="16"/>
      <c r="F95" s="10"/>
      <c r="G95" s="2"/>
      <c r="H95" s="2"/>
      <c r="I95" s="2"/>
      <c r="J95" s="2"/>
    </row>
    <row r="96" spans="1:10" ht="60" customHeight="1">
      <c r="A96" s="30" t="s">
        <v>174</v>
      </c>
      <c r="B96" s="20" t="s">
        <v>175</v>
      </c>
      <c r="C96" s="16">
        <v>800000</v>
      </c>
      <c r="D96" s="16"/>
      <c r="E96" s="16"/>
      <c r="F96" s="10"/>
      <c r="G96" s="2"/>
      <c r="H96" s="2"/>
      <c r="I96" s="2"/>
      <c r="J96" s="2"/>
    </row>
    <row r="97" spans="1:10" ht="60" customHeight="1">
      <c r="A97" s="30" t="s">
        <v>176</v>
      </c>
      <c r="B97" s="20" t="s">
        <v>177</v>
      </c>
      <c r="C97" s="16">
        <v>10000000</v>
      </c>
      <c r="D97" s="16"/>
      <c r="E97" s="32"/>
      <c r="F97" s="10"/>
      <c r="G97" s="2"/>
      <c r="H97" s="2"/>
      <c r="I97" s="2"/>
      <c r="J97" s="2"/>
    </row>
    <row r="98" spans="1:10" ht="31.5" customHeight="1">
      <c r="A98" s="11" t="s">
        <v>178</v>
      </c>
      <c r="B98" s="12" t="s">
        <v>179</v>
      </c>
      <c r="C98" s="13">
        <f>SUM(C99:C125)</f>
        <v>1502889169.76</v>
      </c>
      <c r="D98" s="13">
        <f>SUM(D99:D125)</f>
        <v>1367747779.68</v>
      </c>
      <c r="E98" s="13">
        <f>SUM(E99:E125)</f>
        <v>1337592379.68</v>
      </c>
      <c r="F98" s="10"/>
      <c r="G98" s="2"/>
      <c r="H98" s="2"/>
      <c r="I98" s="2"/>
      <c r="J98" s="2"/>
    </row>
    <row r="99" spans="1:10" ht="60" customHeight="1">
      <c r="A99" s="19" t="s">
        <v>180</v>
      </c>
      <c r="B99" s="20" t="s">
        <v>181</v>
      </c>
      <c r="C99" s="16">
        <v>198008.1</v>
      </c>
      <c r="D99" s="16">
        <v>198000</v>
      </c>
      <c r="E99" s="21">
        <v>198000</v>
      </c>
      <c r="F99" s="10"/>
      <c r="G99" s="2"/>
      <c r="H99" s="2"/>
      <c r="I99" s="2"/>
      <c r="J99" s="2"/>
    </row>
    <row r="100" spans="1:10" ht="105" customHeight="1">
      <c r="A100" s="19" t="s">
        <v>182</v>
      </c>
      <c r="B100" s="20" t="s">
        <v>183</v>
      </c>
      <c r="C100" s="16">
        <f>644412820-11846161.07+4289310+1867760+2182200+18187960+4018130</f>
        <v>663112018.93</v>
      </c>
      <c r="D100" s="16">
        <v>625605000</v>
      </c>
      <c r="E100" s="16">
        <v>644021700</v>
      </c>
      <c r="F100" s="10"/>
      <c r="G100" s="2"/>
      <c r="H100" s="2"/>
      <c r="I100" s="2"/>
      <c r="J100" s="2"/>
    </row>
    <row r="101" spans="1:10" ht="120" customHeight="1">
      <c r="A101" s="19" t="s">
        <v>184</v>
      </c>
      <c r="B101" s="20" t="s">
        <v>185</v>
      </c>
      <c r="C101" s="16">
        <f>54544830+538140+193950+2078360+279040</f>
        <v>57634320</v>
      </c>
      <c r="D101" s="16">
        <v>54544830</v>
      </c>
      <c r="E101" s="16">
        <v>54544830</v>
      </c>
      <c r="F101" s="10"/>
      <c r="G101" s="2"/>
      <c r="H101" s="2"/>
      <c r="I101" s="2"/>
      <c r="J101" s="2"/>
    </row>
    <row r="102" spans="1:10" ht="45" customHeight="1">
      <c r="A102" s="19" t="s">
        <v>186</v>
      </c>
      <c r="B102" s="20" t="s">
        <v>187</v>
      </c>
      <c r="C102" s="16">
        <f>3743788.28+286023.05</f>
        <v>4029811.33</v>
      </c>
      <c r="D102" s="16">
        <v>3743800</v>
      </c>
      <c r="E102" s="16">
        <v>3743800</v>
      </c>
      <c r="F102" s="10"/>
      <c r="G102" s="2"/>
      <c r="H102" s="2"/>
      <c r="I102" s="2"/>
      <c r="J102" s="2"/>
    </row>
    <row r="103" spans="1:10" ht="60" customHeight="1">
      <c r="A103" s="19" t="s">
        <v>188</v>
      </c>
      <c r="B103" s="20" t="s">
        <v>189</v>
      </c>
      <c r="C103" s="16">
        <f>10451559.77+124501.1+219869.22</f>
        <v>10795930.09</v>
      </c>
      <c r="D103" s="16">
        <v>10733900</v>
      </c>
      <c r="E103" s="16">
        <v>11024700</v>
      </c>
      <c r="F103" s="10"/>
      <c r="G103" s="2"/>
      <c r="H103" s="2"/>
      <c r="I103" s="2"/>
      <c r="J103" s="2"/>
    </row>
    <row r="104" spans="1:10" ht="120" customHeight="1">
      <c r="A104" s="19" t="s">
        <v>190</v>
      </c>
      <c r="B104" s="20" t="s">
        <v>191</v>
      </c>
      <c r="C104" s="16">
        <v>59625</v>
      </c>
      <c r="D104" s="16">
        <v>59600</v>
      </c>
      <c r="E104" s="16">
        <v>59600</v>
      </c>
      <c r="F104" s="10"/>
      <c r="G104" s="2"/>
      <c r="H104" s="2"/>
      <c r="I104" s="2"/>
      <c r="J104" s="2"/>
    </row>
    <row r="105" spans="1:10" ht="69" customHeight="1">
      <c r="A105" s="19" t="s">
        <v>192</v>
      </c>
      <c r="B105" s="20" t="s">
        <v>193</v>
      </c>
      <c r="C105" s="28">
        <v>258867000</v>
      </c>
      <c r="D105" s="28">
        <v>210358000</v>
      </c>
      <c r="E105" s="29">
        <v>210802000</v>
      </c>
      <c r="F105" s="10"/>
      <c r="G105" s="2"/>
      <c r="H105" s="2"/>
      <c r="I105" s="2"/>
      <c r="J105" s="2"/>
    </row>
    <row r="106" spans="1:10" ht="63" customHeight="1">
      <c r="A106" s="19" t="s">
        <v>194</v>
      </c>
      <c r="B106" s="20" t="s">
        <v>195</v>
      </c>
      <c r="C106" s="16">
        <f>903411.91+71630.66</f>
        <v>975042.57</v>
      </c>
      <c r="D106" s="16">
        <v>903400</v>
      </c>
      <c r="E106" s="16">
        <v>903400</v>
      </c>
      <c r="F106" s="10"/>
      <c r="G106" s="2"/>
      <c r="H106" s="2"/>
      <c r="I106" s="2"/>
      <c r="J106" s="2"/>
    </row>
    <row r="107" spans="1:10" ht="45" customHeight="1">
      <c r="A107" s="19" t="s">
        <v>196</v>
      </c>
      <c r="B107" s="20" t="s">
        <v>197</v>
      </c>
      <c r="C107" s="16">
        <v>2161494.78</v>
      </c>
      <c r="D107" s="16">
        <v>2161494.78</v>
      </c>
      <c r="E107" s="16">
        <v>2161494.78</v>
      </c>
      <c r="F107" s="10"/>
      <c r="G107" s="2"/>
      <c r="H107" s="2"/>
      <c r="I107" s="2"/>
      <c r="J107" s="2"/>
    </row>
    <row r="108" spans="1:10" ht="60" customHeight="1">
      <c r="A108" s="19" t="s">
        <v>198</v>
      </c>
      <c r="B108" s="20" t="s">
        <v>199</v>
      </c>
      <c r="C108" s="16">
        <v>930020.9</v>
      </c>
      <c r="D108" s="16">
        <v>930020.9</v>
      </c>
      <c r="E108" s="16">
        <v>930020.9</v>
      </c>
      <c r="F108" s="10"/>
      <c r="G108" s="2"/>
      <c r="H108" s="2"/>
      <c r="I108" s="2"/>
      <c r="J108" s="2"/>
    </row>
    <row r="109" spans="1:10" ht="45" customHeight="1">
      <c r="A109" s="19" t="s">
        <v>200</v>
      </c>
      <c r="B109" s="20" t="s">
        <v>201</v>
      </c>
      <c r="C109" s="16">
        <v>1631656.64</v>
      </c>
      <c r="D109" s="16">
        <v>1631700</v>
      </c>
      <c r="E109" s="16">
        <v>1631700</v>
      </c>
      <c r="F109" s="10"/>
      <c r="G109" s="2"/>
      <c r="H109" s="2"/>
      <c r="I109" s="2"/>
      <c r="J109" s="2"/>
    </row>
    <row r="110" spans="1:10" ht="90" customHeight="1">
      <c r="A110" s="19" t="s">
        <v>202</v>
      </c>
      <c r="B110" s="20" t="s">
        <v>203</v>
      </c>
      <c r="C110" s="16">
        <f>1281120+47612.43</f>
        <v>1328732.43</v>
      </c>
      <c r="D110" s="16">
        <v>1297200</v>
      </c>
      <c r="E110" s="16">
        <v>1297200</v>
      </c>
      <c r="F110" s="10"/>
      <c r="G110" s="2"/>
      <c r="H110" s="2"/>
      <c r="I110" s="2"/>
      <c r="J110" s="2"/>
    </row>
    <row r="111" spans="1:10" ht="84.75" customHeight="1">
      <c r="A111" s="19" t="s">
        <v>204</v>
      </c>
      <c r="B111" s="20" t="s">
        <v>205</v>
      </c>
      <c r="C111" s="16">
        <f>275648200+3661800+2274390+18713740+18586250</f>
        <v>318884380</v>
      </c>
      <c r="D111" s="16">
        <v>299714930</v>
      </c>
      <c r="E111" s="16">
        <v>299714930</v>
      </c>
      <c r="F111" s="10"/>
      <c r="G111" s="2"/>
      <c r="H111" s="2"/>
      <c r="I111" s="2"/>
      <c r="J111" s="2"/>
    </row>
    <row r="112" spans="1:10" ht="75" customHeight="1">
      <c r="A112" s="19" t="s">
        <v>206</v>
      </c>
      <c r="B112" s="20" t="s">
        <v>207</v>
      </c>
      <c r="C112" s="16">
        <v>1508529.34</v>
      </c>
      <c r="D112" s="16"/>
      <c r="E112" s="16"/>
      <c r="F112" s="10"/>
      <c r="G112" s="2"/>
      <c r="H112" s="2"/>
      <c r="I112" s="2"/>
      <c r="J112" s="2"/>
    </row>
    <row r="113" spans="1:10" ht="90" customHeight="1">
      <c r="A113" s="19" t="s">
        <v>208</v>
      </c>
      <c r="B113" s="20" t="s">
        <v>209</v>
      </c>
      <c r="C113" s="16">
        <f>31675183.65-25330570.65</f>
        <v>6344613</v>
      </c>
      <c r="D113" s="16">
        <v>49201500</v>
      </c>
      <c r="E113" s="16"/>
      <c r="F113" s="10"/>
      <c r="G113" s="2"/>
      <c r="H113" s="2"/>
      <c r="I113" s="2"/>
      <c r="J113" s="2"/>
    </row>
    <row r="114" spans="1:10" ht="121.5" customHeight="1">
      <c r="A114" s="19" t="s">
        <v>210</v>
      </c>
      <c r="B114" s="20" t="s">
        <v>211</v>
      </c>
      <c r="C114" s="16">
        <v>3470400</v>
      </c>
      <c r="D114" s="16">
        <v>3542400</v>
      </c>
      <c r="E114" s="16">
        <v>3542400</v>
      </c>
      <c r="F114" s="10"/>
      <c r="G114" s="2"/>
      <c r="H114" s="2"/>
      <c r="I114" s="2"/>
      <c r="J114" s="2"/>
    </row>
    <row r="115" spans="1:10" ht="90" customHeight="1">
      <c r="A115" s="19" t="s">
        <v>212</v>
      </c>
      <c r="B115" s="20" t="s">
        <v>213</v>
      </c>
      <c r="C115" s="16">
        <f>31967100+8105200</f>
        <v>40072300</v>
      </c>
      <c r="D115" s="16">
        <v>31775500</v>
      </c>
      <c r="E115" s="16">
        <v>31641200</v>
      </c>
      <c r="F115" s="10"/>
      <c r="G115" s="2"/>
      <c r="H115" s="2"/>
      <c r="I115" s="2"/>
      <c r="J115" s="2"/>
    </row>
    <row r="116" spans="1:10" ht="60" customHeight="1">
      <c r="A116" s="19" t="s">
        <v>214</v>
      </c>
      <c r="B116" s="20" t="s">
        <v>215</v>
      </c>
      <c r="C116" s="16">
        <v>8960000</v>
      </c>
      <c r="D116" s="16"/>
      <c r="E116" s="16"/>
      <c r="F116" s="10"/>
      <c r="G116" s="2"/>
      <c r="H116" s="2"/>
      <c r="I116" s="2"/>
      <c r="J116" s="2"/>
    </row>
    <row r="117" spans="1:10" ht="60" customHeight="1">
      <c r="A117" s="19" t="s">
        <v>216</v>
      </c>
      <c r="B117" s="20" t="s">
        <v>217</v>
      </c>
      <c r="C117" s="16">
        <v>12020250.45</v>
      </c>
      <c r="D117" s="16"/>
      <c r="E117" s="16"/>
      <c r="F117" s="10"/>
      <c r="G117" s="2"/>
      <c r="H117" s="2"/>
      <c r="I117" s="2"/>
      <c r="J117" s="2"/>
    </row>
    <row r="118" spans="1:10" ht="60" customHeight="1">
      <c r="A118" s="19" t="s">
        <v>218</v>
      </c>
      <c r="B118" s="20" t="s">
        <v>219</v>
      </c>
      <c r="C118" s="16">
        <v>20000000</v>
      </c>
      <c r="D118" s="16">
        <v>20000000</v>
      </c>
      <c r="E118" s="16">
        <v>20000000</v>
      </c>
      <c r="F118" s="10"/>
      <c r="G118" s="2"/>
      <c r="H118" s="2"/>
      <c r="I118" s="2"/>
      <c r="J118" s="2"/>
    </row>
    <row r="119" spans="1:10" ht="90" customHeight="1">
      <c r="A119" s="19" t="s">
        <v>220</v>
      </c>
      <c r="B119" s="20" t="s">
        <v>221</v>
      </c>
      <c r="C119" s="16">
        <f>2009420+4886401</f>
        <v>6895821</v>
      </c>
      <c r="D119" s="16"/>
      <c r="E119" s="16"/>
      <c r="F119" s="10"/>
      <c r="G119" s="2"/>
      <c r="H119" s="2"/>
      <c r="I119" s="2"/>
      <c r="J119" s="2"/>
    </row>
    <row r="120" spans="1:10" ht="76.5" customHeight="1">
      <c r="A120" s="19" t="s">
        <v>222</v>
      </c>
      <c r="B120" s="20" t="s">
        <v>223</v>
      </c>
      <c r="C120" s="16">
        <f>5765000-500000</f>
        <v>5265000</v>
      </c>
      <c r="D120" s="16">
        <v>5765000</v>
      </c>
      <c r="E120" s="16">
        <v>5765000</v>
      </c>
      <c r="F120" s="10"/>
      <c r="G120" s="2"/>
      <c r="H120" s="2"/>
      <c r="I120" s="2"/>
      <c r="J120" s="2"/>
    </row>
    <row r="121" spans="1:10" ht="76.5" customHeight="1">
      <c r="A121" s="19" t="s">
        <v>224</v>
      </c>
      <c r="B121" s="20" t="s">
        <v>225</v>
      </c>
      <c r="C121" s="16">
        <v>31723065</v>
      </c>
      <c r="D121" s="16"/>
      <c r="E121" s="16"/>
      <c r="F121" s="10"/>
      <c r="G121" s="2"/>
      <c r="H121" s="2"/>
      <c r="I121" s="2"/>
      <c r="J121" s="2"/>
    </row>
    <row r="122" spans="1:10" ht="76.5" customHeight="1">
      <c r="A122" s="19" t="s">
        <v>226</v>
      </c>
      <c r="B122" s="20" t="s">
        <v>227</v>
      </c>
      <c r="C122" s="16">
        <v>653500</v>
      </c>
      <c r="D122" s="16">
        <v>679600</v>
      </c>
      <c r="E122" s="16">
        <v>706800</v>
      </c>
      <c r="F122" s="10"/>
      <c r="G122" s="2"/>
      <c r="H122" s="2"/>
      <c r="I122" s="2"/>
      <c r="J122" s="2"/>
    </row>
    <row r="123" spans="1:10" ht="76.5" customHeight="1">
      <c r="A123" s="19" t="s">
        <v>228</v>
      </c>
      <c r="B123" s="20" t="s">
        <v>229</v>
      </c>
      <c r="C123" s="16">
        <v>44856504</v>
      </c>
      <c r="D123" s="16">
        <v>44856504</v>
      </c>
      <c r="E123" s="16">
        <v>44856504</v>
      </c>
      <c r="F123" s="10"/>
      <c r="G123" s="2"/>
      <c r="H123" s="2"/>
      <c r="I123" s="2"/>
      <c r="J123" s="2"/>
    </row>
    <row r="124" spans="1:10" ht="45" customHeight="1">
      <c r="A124" s="19" t="s">
        <v>230</v>
      </c>
      <c r="B124" s="20" t="s">
        <v>231</v>
      </c>
      <c r="C124" s="16">
        <f>578619.7-67473.5</f>
        <v>511146.2</v>
      </c>
      <c r="D124" s="16"/>
      <c r="E124" s="16"/>
      <c r="F124" s="10"/>
      <c r="G124" s="2"/>
      <c r="H124" s="2"/>
      <c r="I124" s="2"/>
      <c r="J124" s="2"/>
    </row>
    <row r="125" spans="1:10" ht="45" customHeight="1">
      <c r="A125" s="19" t="s">
        <v>232</v>
      </c>
      <c r="B125" s="20" t="s">
        <v>233</v>
      </c>
      <c r="C125" s="16">
        <f>44000-44000</f>
        <v>0</v>
      </c>
      <c r="D125" s="16">
        <v>45400</v>
      </c>
      <c r="E125" s="16">
        <v>47100</v>
      </c>
      <c r="F125" s="10"/>
      <c r="G125" s="2"/>
      <c r="H125" s="2"/>
      <c r="I125" s="2"/>
      <c r="J125" s="2"/>
    </row>
    <row r="126" spans="1:10" ht="15.75" customHeight="1">
      <c r="A126" s="11" t="s">
        <v>234</v>
      </c>
      <c r="B126" s="12" t="s">
        <v>235</v>
      </c>
      <c r="C126" s="13">
        <f>SUM(C127:C127)</f>
        <v>6700299.56</v>
      </c>
      <c r="D126" s="13">
        <f>SUM(D127:D127)</f>
        <v>500000</v>
      </c>
      <c r="E126" s="13">
        <f>SUM(E127:E127)</f>
        <v>500000</v>
      </c>
      <c r="F126" s="10"/>
      <c r="G126" s="2"/>
      <c r="H126" s="2"/>
      <c r="I126" s="2"/>
      <c r="J126" s="2"/>
    </row>
    <row r="127" spans="1:10" ht="75.75" customHeight="1">
      <c r="A127" s="19" t="s">
        <v>236</v>
      </c>
      <c r="B127" s="20" t="s">
        <v>237</v>
      </c>
      <c r="C127" s="16">
        <v>6700299.56</v>
      </c>
      <c r="D127" s="16">
        <v>500000</v>
      </c>
      <c r="E127" s="21">
        <v>500000</v>
      </c>
      <c r="F127" s="10"/>
      <c r="G127" s="2"/>
      <c r="H127" s="2"/>
      <c r="I127" s="2"/>
      <c r="J127" s="2"/>
    </row>
    <row r="128" spans="1:10" ht="15.75" customHeight="1">
      <c r="A128" s="11" t="s">
        <v>238</v>
      </c>
      <c r="B128" s="12" t="s">
        <v>239</v>
      </c>
      <c r="C128" s="13">
        <f>C129</f>
        <v>30725286</v>
      </c>
      <c r="D128" s="13">
        <f>D129</f>
        <v>0</v>
      </c>
      <c r="E128" s="13">
        <f>E129</f>
        <v>0</v>
      </c>
      <c r="F128" s="10"/>
      <c r="G128" s="2"/>
      <c r="H128" s="2"/>
      <c r="I128" s="2"/>
      <c r="J128" s="2"/>
    </row>
    <row r="129" spans="1:10" ht="30" customHeight="1">
      <c r="A129" s="19" t="s">
        <v>240</v>
      </c>
      <c r="B129" s="20" t="s">
        <v>241</v>
      </c>
      <c r="C129" s="16">
        <f>49360+20000000+700000+900000+1500000+350000+6500000+725926</f>
        <v>30725286</v>
      </c>
      <c r="D129" s="13"/>
      <c r="E129" s="33"/>
      <c r="F129" s="10"/>
      <c r="G129" s="2"/>
      <c r="H129" s="2"/>
      <c r="I129" s="2"/>
      <c r="J129" s="2"/>
    </row>
    <row r="130" spans="1:10" ht="47.25" customHeight="1">
      <c r="A130" s="11" t="s">
        <v>242</v>
      </c>
      <c r="B130" s="12" t="s">
        <v>243</v>
      </c>
      <c r="C130" s="13">
        <v>5207505.58</v>
      </c>
      <c r="D130" s="13"/>
      <c r="E130" s="33"/>
      <c r="F130" s="10"/>
      <c r="G130" s="2"/>
      <c r="H130" s="2"/>
      <c r="I130" s="2"/>
      <c r="J130" s="2"/>
    </row>
    <row r="131" spans="1:10" ht="63" customHeight="1">
      <c r="A131" s="11" t="s">
        <v>244</v>
      </c>
      <c r="B131" s="12" t="s">
        <v>245</v>
      </c>
      <c r="C131" s="13">
        <v>3000000</v>
      </c>
      <c r="D131" s="13"/>
      <c r="E131" s="21"/>
      <c r="F131" s="10"/>
      <c r="G131" s="2"/>
      <c r="H131" s="2"/>
      <c r="I131" s="2"/>
      <c r="J131" s="2"/>
    </row>
    <row r="132" spans="1:10" ht="63" customHeight="1">
      <c r="A132" s="11" t="s">
        <v>246</v>
      </c>
      <c r="B132" s="12" t="s">
        <v>247</v>
      </c>
      <c r="C132" s="13">
        <v>-11294583.88</v>
      </c>
      <c r="D132" s="13"/>
      <c r="E132" s="13"/>
      <c r="F132" s="10"/>
      <c r="G132" s="2"/>
      <c r="H132" s="2"/>
      <c r="I132" s="2"/>
      <c r="J132" s="2"/>
    </row>
    <row r="133" spans="1:10" ht="15.75" customHeight="1">
      <c r="A133" s="34"/>
      <c r="B133" s="35" t="s">
        <v>248</v>
      </c>
      <c r="C133" s="32">
        <f>C83+C84</f>
        <v>4059977901.9</v>
      </c>
      <c r="D133" s="32">
        <f>D83+D84</f>
        <v>3679199939.68</v>
      </c>
      <c r="E133" s="32">
        <f>E83+E84</f>
        <v>3632291649.68</v>
      </c>
      <c r="F133" s="10"/>
      <c r="G133" s="2"/>
      <c r="H133" s="2"/>
      <c r="I133" s="2"/>
      <c r="J133" s="2"/>
    </row>
    <row r="134" spans="1:10" ht="13.5" customHeight="1">
      <c r="A134" s="36"/>
      <c r="B134" s="36"/>
      <c r="C134" s="36"/>
      <c r="D134" s="36"/>
      <c r="E134" s="36"/>
      <c r="F134" s="2"/>
      <c r="G134" s="2"/>
      <c r="H134" s="2"/>
      <c r="I134" s="2"/>
      <c r="J134" s="2"/>
    </row>
    <row r="135" spans="1:10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 customHeight="1" hidden="1">
      <c r="A137" s="37"/>
      <c r="B137" s="38" t="s">
        <v>249</v>
      </c>
      <c r="C137" s="39">
        <f>C15+C20+C25+C34+C36</f>
        <v>2023365460</v>
      </c>
      <c r="D137" s="39">
        <f>D15+D20+D25+D34+D36</f>
        <v>2027411100</v>
      </c>
      <c r="E137" s="39">
        <f>E15+E20+E25+E34+E36</f>
        <v>2010645410</v>
      </c>
      <c r="F137" s="2"/>
      <c r="G137" s="2"/>
      <c r="H137" s="2"/>
      <c r="I137" s="2"/>
      <c r="J137" s="2"/>
    </row>
    <row r="138" spans="1:10" ht="9" customHeight="1" hidden="1">
      <c r="A138" s="2"/>
      <c r="B138" s="40" t="s">
        <v>250</v>
      </c>
      <c r="C138" s="25">
        <f>C39+C47+C51+C75</f>
        <v>398474077.83</v>
      </c>
      <c r="D138" s="25">
        <f>D39+D47+D51+D75</f>
        <v>283173060</v>
      </c>
      <c r="E138" s="25">
        <f>E39+E47+E51+E75</f>
        <v>283185860</v>
      </c>
      <c r="F138" s="2"/>
      <c r="G138" s="2"/>
      <c r="H138" s="2"/>
      <c r="I138" s="2"/>
      <c r="J138" s="2"/>
    </row>
    <row r="139" spans="1:10" ht="9" customHeight="1" hidden="1">
      <c r="A139" s="2"/>
      <c r="B139" s="40" t="s">
        <v>251</v>
      </c>
      <c r="C139" s="25">
        <f>C137+C138</f>
        <v>2421839537.83</v>
      </c>
      <c r="D139" s="25">
        <f>D137+D138</f>
        <v>2310584160</v>
      </c>
      <c r="E139" s="25">
        <f>E137+E138</f>
        <v>2293831270</v>
      </c>
      <c r="F139" s="2"/>
      <c r="G139" s="2"/>
      <c r="H139" s="2"/>
      <c r="I139" s="2"/>
      <c r="J139" s="2"/>
    </row>
    <row r="140" spans="1:10" ht="16.5" customHeight="1">
      <c r="A140" s="2"/>
      <c r="B140" s="2"/>
      <c r="C140" s="25"/>
      <c r="D140" s="25"/>
      <c r="E140" s="25"/>
      <c r="F140" s="2"/>
      <c r="G140" s="2"/>
      <c r="H140" s="2"/>
      <c r="I140" s="2"/>
      <c r="J140" s="2"/>
    </row>
    <row r="141" spans="1:10" ht="16.5" customHeight="1">
      <c r="A141" s="2"/>
      <c r="B141" s="2"/>
      <c r="C141" s="25"/>
      <c r="D141" s="2"/>
      <c r="E141" s="2"/>
      <c r="F141" s="2"/>
      <c r="G141" s="2"/>
      <c r="H141" s="2"/>
      <c r="I141" s="2"/>
      <c r="J141" s="2"/>
    </row>
  </sheetData>
  <mergeCells count="8">
    <mergeCell ref="D8:E8"/>
    <mergeCell ref="A11:E11"/>
    <mergeCell ref="D2:E2"/>
    <mergeCell ref="D3:E3"/>
    <mergeCell ref="D4:E4"/>
    <mergeCell ref="D5:E5"/>
    <mergeCell ref="D6:E6"/>
    <mergeCell ref="D7:E7"/>
  </mergeCells>
  <printOptions/>
  <pageMargins left="0.6299212574958801" right="0.23622046411037445" top="0.35433071851730347" bottom="0.35433071851730347" header="0.31496062874794006" footer="0.31496062874794006"/>
  <pageSetup fitToHeight="1" fitToWidth="1" horizontalDpi="300" verticalDpi="300" orientation="portrait" paperSize="9" scale="59"/>
  <headerFooter alignWithMargins="0"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84"/>
  <sheetViews>
    <sheetView defaultGridColor="0" colorId="10" workbookViewId="0" topLeftCell="A1">
      <selection activeCell="A1" sqref="A1"/>
    </sheetView>
  </sheetViews>
  <sheetFormatPr defaultColWidth="9.140625" defaultRowHeight="15" customHeight="1"/>
  <cols>
    <col min="1" max="1" width="65.7109375" style="42" customWidth="1"/>
    <col min="2" max="2" width="19.421875" style="43" customWidth="1"/>
    <col min="3" max="3" width="7.7109375" style="43" customWidth="1"/>
    <col min="4" max="4" width="22.421875" style="44" customWidth="1"/>
    <col min="5" max="5" width="20.421875" style="44" customWidth="1"/>
    <col min="6" max="6" width="22.7109375" style="44" customWidth="1"/>
    <col min="7" max="189" width="9.140625" style="45" customWidth="1"/>
    <col min="190" max="190" width="65.7109375" style="45" customWidth="1"/>
    <col min="191" max="191" width="19.421875" style="45" customWidth="1"/>
    <col min="192" max="192" width="7.7109375" style="45" customWidth="1"/>
    <col min="193" max="193" width="19.28125" style="45" customWidth="1"/>
    <col min="194" max="199" width="0" style="45" hidden="1" customWidth="1"/>
    <col min="200" max="201" width="13.421875" style="45" customWidth="1"/>
    <col min="202" max="202" width="12.421875" style="45" customWidth="1"/>
    <col min="203" max="203" width="10.7109375" style="45" customWidth="1"/>
    <col min="204" max="204" width="12.421875" style="45" customWidth="1"/>
    <col min="205" max="256" width="9.140625" style="45" customWidth="1"/>
  </cols>
  <sheetData>
    <row r="2" spans="2:6" s="46" customFormat="1" ht="18.75" customHeight="1">
      <c r="B2" s="47"/>
      <c r="E2" s="48" t="s">
        <v>252</v>
      </c>
      <c r="F2" s="49"/>
    </row>
    <row r="3" spans="2:6" s="46" customFormat="1" ht="18.75" customHeight="1">
      <c r="B3" s="47"/>
      <c r="E3" s="50" t="s">
        <v>1</v>
      </c>
      <c r="F3" s="51"/>
    </row>
    <row r="4" spans="2:6" s="46" customFormat="1" ht="18.75" customHeight="1">
      <c r="B4" s="47"/>
      <c r="E4" s="50" t="s">
        <v>2</v>
      </c>
      <c r="F4" s="51"/>
    </row>
    <row r="5" spans="2:6" s="46" customFormat="1" ht="18.75" customHeight="1">
      <c r="B5" s="47"/>
      <c r="E5" s="50" t="s">
        <v>3</v>
      </c>
      <c r="F5" s="51"/>
    </row>
    <row r="6" spans="2:6" s="46" customFormat="1" ht="18.75" customHeight="1">
      <c r="B6" s="47"/>
      <c r="E6" s="50" t="s">
        <v>4</v>
      </c>
      <c r="F6" s="51"/>
    </row>
    <row r="7" spans="2:6" s="46" customFormat="1" ht="18.75" customHeight="1">
      <c r="B7" s="47"/>
      <c r="E7" s="50" t="s">
        <v>253</v>
      </c>
      <c r="F7" s="51"/>
    </row>
    <row r="8" spans="2:6" s="46" customFormat="1" ht="18.75" customHeight="1">
      <c r="B8" s="47"/>
      <c r="E8" s="52" t="s">
        <v>254</v>
      </c>
      <c r="F8" s="53"/>
    </row>
    <row r="11" spans="1:6" s="46" customFormat="1" ht="103.5" customHeight="1">
      <c r="A11" s="54" t="s">
        <v>255</v>
      </c>
      <c r="B11" s="55"/>
      <c r="C11" s="55"/>
      <c r="D11" s="56"/>
      <c r="E11" s="56"/>
      <c r="F11" s="56"/>
    </row>
    <row r="12" s="46" customFormat="1" ht="18" customHeight="1">
      <c r="A12" s="57"/>
    </row>
    <row r="13" s="46" customFormat="1" ht="13.5" customHeight="1">
      <c r="F13" s="58" t="s">
        <v>256</v>
      </c>
    </row>
    <row r="14" spans="1:6" s="46" customFormat="1" ht="55.5" customHeight="1">
      <c r="A14" s="9" t="s">
        <v>9</v>
      </c>
      <c r="B14" s="59" t="s">
        <v>257</v>
      </c>
      <c r="C14" s="59" t="s">
        <v>258</v>
      </c>
      <c r="D14" s="59" t="s">
        <v>10</v>
      </c>
      <c r="E14" s="59" t="s">
        <v>11</v>
      </c>
      <c r="F14" s="59" t="s">
        <v>12</v>
      </c>
    </row>
    <row r="15" spans="1:6" s="60" customFormat="1" ht="15.75" customHeight="1">
      <c r="A15" s="22" t="s">
        <v>259</v>
      </c>
      <c r="B15" s="61"/>
      <c r="C15" s="61"/>
      <c r="D15" s="62">
        <f>D16+D44+D68+D73+D87+D95+D113+D121+D127+D139+D151+D156+D160+D163+D170+D176</f>
        <v>1997668495.66</v>
      </c>
      <c r="E15" s="62">
        <f>E16+E44+E68+E73+E87+E95+E113+E121+E127+E139+E151+E156+E160+E163+E170+E176</f>
        <v>2051632378.55</v>
      </c>
      <c r="F15" s="62">
        <f>F16+F44+F68+F73+F87+F95+F113+F121+F127+F139+F151+F156+F160+F163+F170+F176</f>
        <v>1969557218.6516</v>
      </c>
    </row>
    <row r="16" spans="1:6" s="46" customFormat="1" ht="16.5" customHeight="1">
      <c r="A16" s="63" t="s">
        <v>260</v>
      </c>
      <c r="B16" s="64" t="s">
        <v>261</v>
      </c>
      <c r="C16" s="65"/>
      <c r="D16" s="66">
        <f>D17+D22+D34+D38</f>
        <v>956600270.85</v>
      </c>
      <c r="E16" s="66">
        <f>E17+E22+E34+E38</f>
        <v>1024975476.41</v>
      </c>
      <c r="F16" s="66">
        <f>F17+F22+F34+F38</f>
        <v>1034248357.34</v>
      </c>
    </row>
    <row r="17" spans="1:6" s="46" customFormat="1" ht="16.5" customHeight="1">
      <c r="A17" s="67" t="s">
        <v>262</v>
      </c>
      <c r="B17" s="68" t="s">
        <v>263</v>
      </c>
      <c r="C17" s="69"/>
      <c r="D17" s="70">
        <f>SUM(D18:D21)</f>
        <v>81439252.77</v>
      </c>
      <c r="E17" s="70">
        <f>SUM(E18:E21)</f>
        <v>93212568.02</v>
      </c>
      <c r="F17" s="70">
        <f>SUM(F18:F21)</f>
        <v>93574751.9</v>
      </c>
    </row>
    <row r="18" spans="1:6" s="46" customFormat="1" ht="81" customHeight="1">
      <c r="A18" s="71" t="s">
        <v>264</v>
      </c>
      <c r="B18" s="59" t="s">
        <v>263</v>
      </c>
      <c r="C18" s="72">
        <v>100</v>
      </c>
      <c r="D18" s="29">
        <f>81059956+2002319+1075590-66089.25-18755001.65-91920-2599750.34-1130671+3980279.79-256000-3106.74</f>
        <v>65215605.81</v>
      </c>
      <c r="E18" s="29">
        <v>81059956</v>
      </c>
      <c r="F18" s="29">
        <v>81059956</v>
      </c>
    </row>
    <row r="19" spans="1:6" s="46" customFormat="1" ht="30.75" customHeight="1">
      <c r="A19" s="71" t="s">
        <v>265</v>
      </c>
      <c r="B19" s="59" t="s">
        <v>263</v>
      </c>
      <c r="C19" s="72">
        <v>200</v>
      </c>
      <c r="D19" s="29">
        <f>12241020-1000000+400000+208365.98+569999.99+1600818.8-2849608.79-834386.56</f>
        <v>10336209.42</v>
      </c>
      <c r="E19" s="29">
        <f>12730112.02-1077500</f>
        <v>11652612.02</v>
      </c>
      <c r="F19" s="29">
        <f>13169620.9-1154825</f>
        <v>12014795.9</v>
      </c>
    </row>
    <row r="20" spans="1:6" s="46" customFormat="1" ht="15.75" customHeight="1">
      <c r="A20" s="71" t="s">
        <v>266</v>
      </c>
      <c r="B20" s="59" t="s">
        <v>263</v>
      </c>
      <c r="C20" s="72">
        <v>300</v>
      </c>
      <c r="D20" s="29">
        <f>500000+66089.25+2599750.34+2721597.95</f>
        <v>5887437.54</v>
      </c>
      <c r="E20" s="29">
        <v>500000</v>
      </c>
      <c r="F20" s="29">
        <v>500000</v>
      </c>
    </row>
    <row r="21" spans="1:6" s="46" customFormat="1" ht="15.75" customHeight="1">
      <c r="A21" s="71" t="s">
        <v>267</v>
      </c>
      <c r="B21" s="59" t="s">
        <v>263</v>
      </c>
      <c r="C21" s="72">
        <v>800</v>
      </c>
      <c r="D21" s="29">
        <f>4000000-4000000</f>
        <v>0</v>
      </c>
      <c r="E21" s="29">
        <v>0</v>
      </c>
      <c r="F21" s="29">
        <v>0</v>
      </c>
    </row>
    <row r="22" spans="1:6" s="46" customFormat="1" ht="31.5" customHeight="1">
      <c r="A22" s="73" t="s">
        <v>268</v>
      </c>
      <c r="B22" s="74" t="s">
        <v>269</v>
      </c>
      <c r="C22" s="75"/>
      <c r="D22" s="76">
        <f>D23+D28</f>
        <v>726455121.35</v>
      </c>
      <c r="E22" s="76">
        <f>E23+E28</f>
        <v>807060313.67</v>
      </c>
      <c r="F22" s="76">
        <f>F23+F28</f>
        <v>815776640.39</v>
      </c>
    </row>
    <row r="23" spans="1:6" s="46" customFormat="1" ht="15.75" customHeight="1">
      <c r="A23" s="67" t="s">
        <v>270</v>
      </c>
      <c r="B23" s="68" t="s">
        <v>271</v>
      </c>
      <c r="C23" s="69"/>
      <c r="D23" s="77">
        <f>D24+D25+D26+D27</f>
        <v>348164812.64</v>
      </c>
      <c r="E23" s="77">
        <f>E24+E25+E26+E27</f>
        <v>399056216.47</v>
      </c>
      <c r="F23" s="78">
        <f>F24+F25+F26+F27</f>
        <v>402132684.19</v>
      </c>
    </row>
    <row r="24" spans="1:6" s="46" customFormat="1" ht="79.5" customHeight="1">
      <c r="A24" s="71" t="s">
        <v>264</v>
      </c>
      <c r="B24" s="59" t="s">
        <v>271</v>
      </c>
      <c r="C24" s="72">
        <v>100</v>
      </c>
      <c r="D24" s="29">
        <f>206397172.87-151289.87-9246791-9635-13824+480502.67-2320898.27-846447.13-1119481.57-2.67-26345-4748214-8994.97+500000+4748214-2607173.01-66481.3+8994.97-13212696-1724309.89+95994+2843435.2+400000</f>
        <v>179371730.03</v>
      </c>
      <c r="E24" s="29">
        <f>198647088.88+166302.12-2652000</f>
        <v>196161391</v>
      </c>
      <c r="F24" s="29">
        <f>199644679.88+166302.12-3752000</f>
        <v>196058982</v>
      </c>
    </row>
    <row r="25" spans="1:6" s="46" customFormat="1" ht="30.75" customHeight="1">
      <c r="A25" s="71" t="s">
        <v>265</v>
      </c>
      <c r="B25" s="59" t="s">
        <v>271</v>
      </c>
      <c r="C25" s="72">
        <v>200</v>
      </c>
      <c r="D25" s="29">
        <f>204389612.46-4598583-6300808-30000-30000+441286.29+484278.12+456019.71+474873.38-23545-124694+1100000+3658010.54-24674709.75-93000-8354471.13-500000-7470659.91-95994</f>
        <v>158707615.71</v>
      </c>
      <c r="E25" s="29">
        <f>203744814.62-4424473.15-5305698</f>
        <v>194014643.47</v>
      </c>
      <c r="F25" s="29">
        <f>207918129.3-4694610.11-5992097</f>
        <v>197231422.19</v>
      </c>
    </row>
    <row r="26" spans="1:6" s="46" customFormat="1" ht="15.75" customHeight="1">
      <c r="A26" s="71" t="s">
        <v>266</v>
      </c>
      <c r="B26" s="59" t="s">
        <v>271</v>
      </c>
      <c r="C26" s="72">
        <v>300</v>
      </c>
      <c r="D26" s="29">
        <f>9635+13824+846447.13+1119481.57+26345+8994.97+66481.3-8994.97-911880.77+50000</f>
        <v>1220333.23</v>
      </c>
      <c r="E26" s="29"/>
      <c r="F26" s="29"/>
    </row>
    <row r="27" spans="1:6" s="46" customFormat="1" ht="15.75" customHeight="1">
      <c r="A27" s="71" t="s">
        <v>267</v>
      </c>
      <c r="B27" s="59" t="s">
        <v>271</v>
      </c>
      <c r="C27" s="72">
        <v>800</v>
      </c>
      <c r="D27" s="29">
        <f>8864403+30000+30000+23545+124694-300511+2.67+93000</f>
        <v>8865133.67</v>
      </c>
      <c r="E27" s="29">
        <v>8880182</v>
      </c>
      <c r="F27" s="29">
        <v>8842280</v>
      </c>
    </row>
    <row r="28" spans="1:6" s="46" customFormat="1" ht="15.75" customHeight="1">
      <c r="A28" s="79" t="s">
        <v>272</v>
      </c>
      <c r="B28" s="68" t="s">
        <v>273</v>
      </c>
      <c r="C28" s="69"/>
      <c r="D28" s="77">
        <f>SUM(D29:D33)</f>
        <v>378290308.71</v>
      </c>
      <c r="E28" s="77">
        <f>SUM(E29:E33)</f>
        <v>408004097.2</v>
      </c>
      <c r="F28" s="77">
        <f>SUM(F29:F33)</f>
        <v>413643956.2</v>
      </c>
    </row>
    <row r="29" spans="1:6" s="46" customFormat="1" ht="76.5" customHeight="1">
      <c r="A29" s="71" t="s">
        <v>264</v>
      </c>
      <c r="B29" s="59" t="s">
        <v>273</v>
      </c>
      <c r="C29" s="72">
        <v>100</v>
      </c>
      <c r="D29" s="29">
        <f>85066037.32-3322492.78-2660886-23086.66-2675197-151000-225366.84-290066.07-2712366+2712366-1004246.9+2752460-2862628.18+2244817.24+600000</f>
        <v>77448344.13</v>
      </c>
      <c r="E29" s="29">
        <f>81569957.64-2455288.47-1088908</f>
        <v>78025761.17</v>
      </c>
      <c r="F29" s="29">
        <f>81874829.64-2455288.47-1088908</f>
        <v>78330633.17</v>
      </c>
    </row>
    <row r="30" spans="1:6" s="46" customFormat="1" ht="30.75" customHeight="1">
      <c r="A30" s="71" t="s">
        <v>265</v>
      </c>
      <c r="B30" s="59" t="s">
        <v>273</v>
      </c>
      <c r="C30" s="72">
        <v>200</v>
      </c>
      <c r="D30" s="29">
        <f>66366753.44-592206+23086.66+1350000-1711155.04+7153330-428253.78-2049279.63</f>
        <v>70112275.65</v>
      </c>
      <c r="E30" s="29">
        <f>69345384.84-619865</f>
        <v>68725519.84</v>
      </c>
      <c r="F30" s="29">
        <f>71633158.05-645621</f>
        <v>70987537.05</v>
      </c>
    </row>
    <row r="31" spans="1:6" s="46" customFormat="1" ht="15.75" customHeight="1">
      <c r="A31" s="71" t="s">
        <v>266</v>
      </c>
      <c r="B31" s="59" t="s">
        <v>273</v>
      </c>
      <c r="C31" s="72">
        <v>300</v>
      </c>
      <c r="D31" s="29">
        <f>225366.84+290066.07</f>
        <v>515432.91</v>
      </c>
      <c r="E31" s="29">
        <v>0</v>
      </c>
      <c r="F31" s="29">
        <v>0</v>
      </c>
    </row>
    <row r="32" spans="1:6" s="46" customFormat="1" ht="30.75" customHeight="1">
      <c r="A32" s="71" t="s">
        <v>274</v>
      </c>
      <c r="B32" s="59" t="s">
        <v>273</v>
      </c>
      <c r="C32" s="72">
        <v>600</v>
      </c>
      <c r="D32" s="29">
        <f>275501006.51-19510575.33-9313660+1350000-1677633-1180299.77-2857259-96551-1700887+1700887-2227737.53-15159300.55+2993089.69+900000</f>
        <v>228721080.02</v>
      </c>
      <c r="E32" s="29">
        <f>275263928.08-15657913.89</f>
        <v>259606014.19</v>
      </c>
      <c r="F32" s="29">
        <f>278394318.87-15717514.89</f>
        <v>262676803.98</v>
      </c>
    </row>
    <row r="33" spans="1:6" s="46" customFormat="1" ht="15.75" customHeight="1">
      <c r="A33" s="71" t="s">
        <v>267</v>
      </c>
      <c r="B33" s="59" t="s">
        <v>273</v>
      </c>
      <c r="C33" s="72">
        <v>800</v>
      </c>
      <c r="D33" s="29">
        <f>2393604-749002-151426</f>
        <v>1493176</v>
      </c>
      <c r="E33" s="29">
        <f>2395804-749002</f>
        <v>1646802</v>
      </c>
      <c r="F33" s="29">
        <f>2397984-749002</f>
        <v>1648982</v>
      </c>
    </row>
    <row r="34" spans="1:6" s="46" customFormat="1" ht="16.5" customHeight="1">
      <c r="A34" s="67" t="s">
        <v>275</v>
      </c>
      <c r="B34" s="68" t="s">
        <v>276</v>
      </c>
      <c r="C34" s="69"/>
      <c r="D34" s="80">
        <f>D35+D36+D37</f>
        <v>75618967.84</v>
      </c>
      <c r="E34" s="80">
        <f>E35+E36+E37</f>
        <v>74008721.72</v>
      </c>
      <c r="F34" s="80">
        <f>F35+F36+F37</f>
        <v>74203092.05</v>
      </c>
    </row>
    <row r="35" spans="1:6" s="46" customFormat="1" ht="75.75" customHeight="1">
      <c r="A35" s="71" t="s">
        <v>264</v>
      </c>
      <c r="B35" s="59" t="s">
        <v>276</v>
      </c>
      <c r="C35" s="72">
        <v>100</v>
      </c>
      <c r="D35" s="29">
        <f>75829431.5-5676167.5-1980000-441480-409497-286808.74-741359+741359-382365.3+149654.48+50000</f>
        <v>66852767.44</v>
      </c>
      <c r="E35" s="29">
        <f aca="true" t="shared" si="0" ref="E35:F35">73119431.5-5676167.5</f>
        <v>67443264</v>
      </c>
      <c r="F35" s="29">
        <f t="shared" si="0"/>
        <v>67443264</v>
      </c>
    </row>
    <row r="36" spans="1:6" s="46" customFormat="1" ht="30.75" customHeight="1">
      <c r="A36" s="71" t="s">
        <v>265</v>
      </c>
      <c r="B36" s="59" t="s">
        <v>276</v>
      </c>
      <c r="C36" s="72">
        <v>200</v>
      </c>
      <c r="D36" s="29">
        <f>8986636-1900000+365544+519259.23-194636+200000-153919.83-7500-8235-50000+400600+350000-1919</f>
        <v>8505829.4</v>
      </c>
      <c r="E36" s="29">
        <f>9070857.72-2505400</f>
        <v>6565457.72</v>
      </c>
      <c r="F36" s="29">
        <f>9370390.05-2610562</f>
        <v>6759828.05</v>
      </c>
    </row>
    <row r="37" spans="1:6" s="46" customFormat="1" ht="15.75" customHeight="1">
      <c r="A37" s="71" t="s">
        <v>267</v>
      </c>
      <c r="B37" s="59" t="s">
        <v>276</v>
      </c>
      <c r="C37" s="72">
        <v>800</v>
      </c>
      <c r="D37" s="29">
        <f>194636+7500+8235+50000</f>
        <v>260371</v>
      </c>
      <c r="E37" s="29">
        <v>0</v>
      </c>
      <c r="F37" s="29">
        <v>0</v>
      </c>
    </row>
    <row r="38" spans="1:6" s="46" customFormat="1" ht="16.5" customHeight="1">
      <c r="A38" s="67" t="s">
        <v>277</v>
      </c>
      <c r="B38" s="68" t="s">
        <v>278</v>
      </c>
      <c r="C38" s="69"/>
      <c r="D38" s="80">
        <f>SUM(D39:D43)</f>
        <v>73086928.89</v>
      </c>
      <c r="E38" s="80">
        <f>SUM(E39:E43)</f>
        <v>50693873</v>
      </c>
      <c r="F38" s="80">
        <f>SUM(F39:F43)</f>
        <v>50693873</v>
      </c>
    </row>
    <row r="39" spans="1:6" s="46" customFormat="1" ht="60.75" customHeight="1">
      <c r="A39" s="71" t="s">
        <v>264</v>
      </c>
      <c r="B39" s="59" t="s">
        <v>278</v>
      </c>
      <c r="C39" s="72">
        <v>100</v>
      </c>
      <c r="D39" s="81">
        <f>10891590.59+4022341+41635.44+8542+9730</f>
        <v>14973839.03</v>
      </c>
      <c r="E39" s="81"/>
      <c r="F39" s="81"/>
    </row>
    <row r="40" spans="1:6" s="46" customFormat="1" ht="30.75" customHeight="1">
      <c r="A40" s="71" t="s">
        <v>265</v>
      </c>
      <c r="B40" s="59" t="s">
        <v>278</v>
      </c>
      <c r="C40" s="72">
        <v>200</v>
      </c>
      <c r="D40" s="81">
        <f>13605217.01+247886+911700+3746317.67-41635.44-8542-9730-116462.59</f>
        <v>18334750.65</v>
      </c>
      <c r="E40" s="81"/>
      <c r="F40" s="81"/>
    </row>
    <row r="41" spans="1:6" s="45" customFormat="1" ht="24" customHeight="1">
      <c r="A41" s="71" t="s">
        <v>266</v>
      </c>
      <c r="B41" s="59" t="s">
        <v>278</v>
      </c>
      <c r="C41" s="72">
        <v>300</v>
      </c>
      <c r="D41" s="28">
        <f>10511573-10511573</f>
        <v>0</v>
      </c>
      <c r="E41" s="28">
        <f aca="true" t="shared" si="1" ref="E41:F41">10511573</f>
        <v>10511573</v>
      </c>
      <c r="F41" s="28">
        <f t="shared" si="1"/>
        <v>10511573</v>
      </c>
    </row>
    <row r="42" spans="1:6" s="45" customFormat="1" ht="30.75" customHeight="1">
      <c r="A42" s="71" t="s">
        <v>274</v>
      </c>
      <c r="B42" s="59" t="s">
        <v>278</v>
      </c>
      <c r="C42" s="72">
        <v>600</v>
      </c>
      <c r="D42" s="82">
        <f>15685492.4+6241346+1211000+16253682.33+700000-313181.52</f>
        <v>39778339.21</v>
      </c>
      <c r="E42" s="28"/>
      <c r="F42" s="28"/>
    </row>
    <row r="43" spans="1:6" s="45" customFormat="1" ht="24" customHeight="1">
      <c r="A43" s="71" t="s">
        <v>267</v>
      </c>
      <c r="B43" s="59" t="s">
        <v>278</v>
      </c>
      <c r="C43" s="72">
        <v>800</v>
      </c>
      <c r="D43" s="28">
        <f>13344100+26268100+570100-40182300</f>
        <v>0</v>
      </c>
      <c r="E43" s="28">
        <f aca="true" t="shared" si="2" ref="E43:F43">13344100+26268100+570100</f>
        <v>40182300</v>
      </c>
      <c r="F43" s="28">
        <f t="shared" si="2"/>
        <v>40182300</v>
      </c>
    </row>
    <row r="44" spans="1:6" s="46" customFormat="1" ht="25.5" customHeight="1">
      <c r="A44" s="63" t="s">
        <v>279</v>
      </c>
      <c r="B44" s="64" t="s">
        <v>280</v>
      </c>
      <c r="C44" s="65"/>
      <c r="D44" s="83">
        <f>D45+D50+D53+D64+D62</f>
        <v>230161556.2</v>
      </c>
      <c r="E44" s="83">
        <f>E45+E50+E53+E64+E62</f>
        <v>269031780</v>
      </c>
      <c r="F44" s="83">
        <f>F45+F50+F53+F64+F62</f>
        <v>248186300</v>
      </c>
    </row>
    <row r="45" spans="1:6" s="46" customFormat="1" ht="15.75" customHeight="1">
      <c r="A45" s="84" t="s">
        <v>262</v>
      </c>
      <c r="B45" s="85" t="s">
        <v>281</v>
      </c>
      <c r="C45" s="61"/>
      <c r="D45" s="86">
        <f>SUM(D46:D49)</f>
        <v>35755205.61</v>
      </c>
      <c r="E45" s="86">
        <f>SUM(E46:E49)</f>
        <v>39332500</v>
      </c>
      <c r="F45" s="86">
        <f>SUM(F46:F49)</f>
        <v>39513500</v>
      </c>
    </row>
    <row r="46" spans="1:6" s="46" customFormat="1" ht="75" customHeight="1">
      <c r="A46" s="71" t="s">
        <v>264</v>
      </c>
      <c r="B46" s="59" t="s">
        <v>281</v>
      </c>
      <c r="C46" s="72">
        <v>100</v>
      </c>
      <c r="D46" s="29">
        <f>31908400-1055000-150000-599730.79-635000-120121.23</f>
        <v>29348547.98</v>
      </c>
      <c r="E46" s="29">
        <f>31995800-1087700</f>
        <v>30908100</v>
      </c>
      <c r="F46" s="29">
        <f>32082900-1120300</f>
        <v>30962600</v>
      </c>
    </row>
    <row r="47" spans="1:6" s="46" customFormat="1" ht="30.75" customHeight="1">
      <c r="A47" s="71" t="s">
        <v>265</v>
      </c>
      <c r="B47" s="59" t="s">
        <v>281</v>
      </c>
      <c r="C47" s="72">
        <v>200</v>
      </c>
      <c r="D47" s="29">
        <f>12516900-4224500-179400-1550000-668546.16-723527-3450</f>
        <v>5167476.84</v>
      </c>
      <c r="E47" s="29">
        <f>12900100-4486000</f>
        <v>8414100</v>
      </c>
      <c r="F47" s="29">
        <f>13287300-4747000</f>
        <v>8540300</v>
      </c>
    </row>
    <row r="48" spans="1:6" s="46" customFormat="1" ht="15.75" customHeight="1">
      <c r="A48" s="71" t="s">
        <v>266</v>
      </c>
      <c r="B48" s="59" t="s">
        <v>281</v>
      </c>
      <c r="C48" s="72">
        <v>300</v>
      </c>
      <c r="D48" s="29">
        <f>599730.79+635000</f>
        <v>1234730.79</v>
      </c>
      <c r="E48" s="29"/>
      <c r="F48" s="29"/>
    </row>
    <row r="49" spans="1:6" s="46" customFormat="1" ht="15.75" customHeight="1">
      <c r="A49" s="71" t="s">
        <v>267</v>
      </c>
      <c r="B49" s="59" t="s">
        <v>281</v>
      </c>
      <c r="C49" s="72">
        <v>800</v>
      </c>
      <c r="D49" s="29">
        <f>10000-9000+3450</f>
        <v>4450</v>
      </c>
      <c r="E49" s="29">
        <v>10300</v>
      </c>
      <c r="F49" s="29">
        <v>10600</v>
      </c>
    </row>
    <row r="50" spans="1:6" s="46" customFormat="1" ht="33" customHeight="1">
      <c r="A50" s="84" t="s">
        <v>282</v>
      </c>
      <c r="B50" s="85" t="s">
        <v>283</v>
      </c>
      <c r="C50" s="61"/>
      <c r="D50" s="86">
        <f>SUM(D51:D52)</f>
        <v>2223231.4</v>
      </c>
      <c r="E50" s="86">
        <f>SUM(E51:E52)</f>
        <v>2399400</v>
      </c>
      <c r="F50" s="86">
        <f>SUM(F51:F52)</f>
        <v>2471400</v>
      </c>
    </row>
    <row r="51" spans="1:6" s="46" customFormat="1" ht="30.75" customHeight="1">
      <c r="A51" s="71" t="s">
        <v>265</v>
      </c>
      <c r="B51" s="59" t="s">
        <v>283</v>
      </c>
      <c r="C51" s="72">
        <v>200</v>
      </c>
      <c r="D51" s="29">
        <f>2317400-22400-71768.6</f>
        <v>2223231.4</v>
      </c>
      <c r="E51" s="29">
        <v>2389100</v>
      </c>
      <c r="F51" s="29">
        <v>2460800</v>
      </c>
    </row>
    <row r="52" spans="1:6" s="46" customFormat="1" ht="15.75" customHeight="1">
      <c r="A52" s="71" t="s">
        <v>267</v>
      </c>
      <c r="B52" s="59" t="s">
        <v>283</v>
      </c>
      <c r="C52" s="72">
        <v>800</v>
      </c>
      <c r="D52" s="29">
        <f>10000-10000</f>
        <v>0</v>
      </c>
      <c r="E52" s="29">
        <v>10300</v>
      </c>
      <c r="F52" s="29">
        <v>10600</v>
      </c>
    </row>
    <row r="53" spans="1:6" s="46" customFormat="1" ht="47.25" customHeight="1">
      <c r="A53" s="84" t="s">
        <v>284</v>
      </c>
      <c r="B53" s="85" t="s">
        <v>285</v>
      </c>
      <c r="C53" s="61"/>
      <c r="D53" s="86">
        <f>D54+D58</f>
        <v>100981469.98</v>
      </c>
      <c r="E53" s="86">
        <f>E54+E58</f>
        <v>107191050</v>
      </c>
      <c r="F53" s="86">
        <f>F54+F58</f>
        <v>108070650</v>
      </c>
    </row>
    <row r="54" spans="1:6" s="46" customFormat="1" ht="15.75" customHeight="1">
      <c r="A54" s="84" t="s">
        <v>286</v>
      </c>
      <c r="B54" s="85" t="s">
        <v>285</v>
      </c>
      <c r="C54" s="61"/>
      <c r="D54" s="86">
        <f>SUBTOTAL(9,D55:D57)</f>
        <v>78487210.21</v>
      </c>
      <c r="E54" s="86">
        <f>SUBTOTAL(9,E55:E57)</f>
        <v>83779100</v>
      </c>
      <c r="F54" s="86">
        <f>SUBTOTAL(9,F55:F57)</f>
        <v>84400500</v>
      </c>
    </row>
    <row r="55" spans="1:6" s="46" customFormat="1" ht="78" customHeight="1">
      <c r="A55" s="71" t="s">
        <v>264</v>
      </c>
      <c r="B55" s="59" t="s">
        <v>285</v>
      </c>
      <c r="C55" s="72">
        <v>100</v>
      </c>
      <c r="D55" s="29">
        <f>64169400-1836000-3265730-438070+785361</f>
        <v>59414961</v>
      </c>
      <c r="E55" s="29">
        <f>64705900-1892900</f>
        <v>62813000</v>
      </c>
      <c r="F55" s="29">
        <f>64673400-1858400</f>
        <v>62815000</v>
      </c>
    </row>
    <row r="56" spans="1:6" s="46" customFormat="1" ht="30.75" customHeight="1">
      <c r="A56" s="71" t="s">
        <v>265</v>
      </c>
      <c r="B56" s="59" t="s">
        <v>285</v>
      </c>
      <c r="C56" s="72">
        <v>200</v>
      </c>
      <c r="D56" s="29">
        <f>20444600-420600-2000000-621100+53782.8+1296408.41</f>
        <v>18753091.21</v>
      </c>
      <c r="E56" s="29">
        <f>20888700-443700</f>
        <v>20445000</v>
      </c>
      <c r="F56" s="29">
        <f>21515600-466800</f>
        <v>21048800</v>
      </c>
    </row>
    <row r="57" spans="1:6" s="46" customFormat="1" ht="15.75" customHeight="1">
      <c r="A57" s="71" t="s">
        <v>267</v>
      </c>
      <c r="B57" s="59" t="s">
        <v>285</v>
      </c>
      <c r="C57" s="72">
        <v>800</v>
      </c>
      <c r="D57" s="29">
        <f>505400-186242</f>
        <v>319158</v>
      </c>
      <c r="E57" s="29">
        <v>521100</v>
      </c>
      <c r="F57" s="29">
        <v>536700</v>
      </c>
    </row>
    <row r="58" spans="1:6" s="46" customFormat="1" ht="15.75" customHeight="1">
      <c r="A58" s="87" t="s">
        <v>287</v>
      </c>
      <c r="B58" s="85" t="s">
        <v>285</v>
      </c>
      <c r="C58" s="61"/>
      <c r="D58" s="88">
        <f>SUBTOTAL(9,D59:D61)</f>
        <v>22494259.77</v>
      </c>
      <c r="E58" s="88">
        <f>SUBTOTAL(9,E59:E61)</f>
        <v>23411950</v>
      </c>
      <c r="F58" s="88">
        <f>SUBTOTAL(9,F59:F61)</f>
        <v>23670150</v>
      </c>
    </row>
    <row r="59" spans="1:6" s="46" customFormat="1" ht="60.75" customHeight="1">
      <c r="A59" s="71" t="s">
        <v>264</v>
      </c>
      <c r="B59" s="59" t="s">
        <v>285</v>
      </c>
      <c r="C59" s="72">
        <v>100</v>
      </c>
      <c r="D59" s="29">
        <f>21389300-778500-103430-106770.6</f>
        <v>20400599.4</v>
      </c>
      <c r="E59" s="29">
        <f>21601000-802650</f>
        <v>20798350</v>
      </c>
      <c r="F59" s="29">
        <f>21812200-826750</f>
        <v>20985450</v>
      </c>
    </row>
    <row r="60" spans="1:6" s="46" customFormat="1" ht="30.75" customHeight="1">
      <c r="A60" s="71" t="s">
        <v>265</v>
      </c>
      <c r="B60" s="59" t="s">
        <v>285</v>
      </c>
      <c r="C60" s="72">
        <v>200</v>
      </c>
      <c r="D60" s="29">
        <f>3401800-944500-115700-24860.6-226510.03</f>
        <v>2090229.37</v>
      </c>
      <c r="E60" s="29">
        <f>3507500-981500</f>
        <v>2526000</v>
      </c>
      <c r="F60" s="29">
        <f>3612900-1018400</f>
        <v>2594500</v>
      </c>
    </row>
    <row r="61" spans="1:6" s="46" customFormat="1" ht="15.75" customHeight="1">
      <c r="A61" s="71" t="s">
        <v>267</v>
      </c>
      <c r="B61" s="59" t="s">
        <v>285</v>
      </c>
      <c r="C61" s="72">
        <v>800</v>
      </c>
      <c r="D61" s="29">
        <f>85000-81569</f>
        <v>3431</v>
      </c>
      <c r="E61" s="29">
        <v>87600</v>
      </c>
      <c r="F61" s="29">
        <v>90200</v>
      </c>
    </row>
    <row r="62" spans="1:6" s="46" customFormat="1" ht="31.5" customHeight="1">
      <c r="A62" s="87" t="s">
        <v>288</v>
      </c>
      <c r="B62" s="85" t="s">
        <v>289</v>
      </c>
      <c r="C62" s="61"/>
      <c r="D62" s="89">
        <f>D63</f>
        <v>0</v>
      </c>
      <c r="E62" s="89">
        <f>E63</f>
        <v>22452630</v>
      </c>
      <c r="F62" s="89">
        <f>F63</f>
        <v>0</v>
      </c>
    </row>
    <row r="63" spans="1:6" s="46" customFormat="1" ht="30.75" customHeight="1">
      <c r="A63" s="71" t="s">
        <v>290</v>
      </c>
      <c r="B63" s="59" t="s">
        <v>289</v>
      </c>
      <c r="C63" s="72">
        <v>400</v>
      </c>
      <c r="D63" s="29">
        <f>22452640-22452640</f>
        <v>0</v>
      </c>
      <c r="E63" s="29">
        <v>22452630</v>
      </c>
      <c r="F63" s="29">
        <v>0</v>
      </c>
    </row>
    <row r="64" spans="1:6" s="46" customFormat="1" ht="15.75" customHeight="1">
      <c r="A64" s="87" t="s">
        <v>275</v>
      </c>
      <c r="B64" s="85" t="s">
        <v>276</v>
      </c>
      <c r="C64" s="61"/>
      <c r="D64" s="86">
        <f>SUM(D65:D67)</f>
        <v>91201649.21</v>
      </c>
      <c r="E64" s="86">
        <f>SUM(E65:E67)</f>
        <v>97656200</v>
      </c>
      <c r="F64" s="86">
        <f>SUM(F65:F67)</f>
        <v>98130750</v>
      </c>
    </row>
    <row r="65" spans="1:6" s="46" customFormat="1" ht="75" customHeight="1">
      <c r="A65" s="71" t="s">
        <v>264</v>
      </c>
      <c r="B65" s="59" t="s">
        <v>276</v>
      </c>
      <c r="C65" s="72">
        <v>100</v>
      </c>
      <c r="D65" s="29">
        <f>89691200-2510000+49360-1030120-579243-36600-283393.71-2100756+300000-817448.41</f>
        <v>82682998.88</v>
      </c>
      <c r="E65" s="29">
        <f>89934900-2587800</f>
        <v>87347100</v>
      </c>
      <c r="F65" s="29">
        <f>90178100-2665450</f>
        <v>87512650</v>
      </c>
    </row>
    <row r="66" spans="1:6" s="46" customFormat="1" ht="30.75" customHeight="1">
      <c r="A66" s="71" t="s">
        <v>265</v>
      </c>
      <c r="B66" s="59" t="s">
        <v>276</v>
      </c>
      <c r="C66" s="72">
        <v>200</v>
      </c>
      <c r="D66" s="29">
        <f>9974100-147000+149137.86-1472094.53</f>
        <v>8504143.33</v>
      </c>
      <c r="E66" s="29">
        <v>10283300</v>
      </c>
      <c r="F66" s="29">
        <v>10591500</v>
      </c>
    </row>
    <row r="67" spans="1:6" s="46" customFormat="1" ht="15.75" customHeight="1">
      <c r="A67" s="71" t="s">
        <v>267</v>
      </c>
      <c r="B67" s="59" t="s">
        <v>276</v>
      </c>
      <c r="C67" s="72">
        <v>800</v>
      </c>
      <c r="D67" s="29">
        <f>25000-10493</f>
        <v>14507</v>
      </c>
      <c r="E67" s="29">
        <v>25800</v>
      </c>
      <c r="F67" s="29">
        <v>26600</v>
      </c>
    </row>
    <row r="68" spans="1:6" s="46" customFormat="1" ht="31.5" customHeight="1">
      <c r="A68" s="63" t="s">
        <v>291</v>
      </c>
      <c r="B68" s="64" t="s">
        <v>292</v>
      </c>
      <c r="C68" s="65"/>
      <c r="D68" s="83">
        <f>D69</f>
        <v>1689500</v>
      </c>
      <c r="E68" s="83">
        <f>E69</f>
        <v>5143290</v>
      </c>
      <c r="F68" s="83">
        <f>F69</f>
        <v>0</v>
      </c>
    </row>
    <row r="69" spans="1:6" s="46" customFormat="1" ht="15.75" customHeight="1">
      <c r="A69" s="87" t="s">
        <v>293</v>
      </c>
      <c r="B69" s="85" t="s">
        <v>294</v>
      </c>
      <c r="C69" s="61"/>
      <c r="D69" s="86">
        <f>D70+D71+D72</f>
        <v>1689500</v>
      </c>
      <c r="E69" s="86">
        <f>E70+E71+E72</f>
        <v>5143290</v>
      </c>
      <c r="F69" s="86">
        <f>F70+F71+F72</f>
        <v>0</v>
      </c>
    </row>
    <row r="70" spans="1:6" s="46" customFormat="1" ht="30.75" customHeight="1">
      <c r="A70" s="71" t="s">
        <v>265</v>
      </c>
      <c r="B70" s="59" t="s">
        <v>294</v>
      </c>
      <c r="C70" s="72">
        <v>200</v>
      </c>
      <c r="D70" s="29">
        <f>483290-233290-250000</f>
        <v>0</v>
      </c>
      <c r="E70" s="29">
        <v>483290</v>
      </c>
      <c r="F70" s="29">
        <v>0</v>
      </c>
    </row>
    <row r="71" spans="1:6" s="46" customFormat="1" ht="15.75" customHeight="1">
      <c r="A71" s="71" t="s">
        <v>266</v>
      </c>
      <c r="B71" s="59" t="s">
        <v>294</v>
      </c>
      <c r="C71" s="72">
        <v>300</v>
      </c>
      <c r="D71" s="29">
        <f>60000+106760-166760</f>
        <v>0</v>
      </c>
      <c r="E71" s="29">
        <v>60000</v>
      </c>
      <c r="F71" s="29">
        <v>0</v>
      </c>
    </row>
    <row r="72" spans="1:6" s="46" customFormat="1" ht="26.25" customHeight="1">
      <c r="A72" s="71" t="s">
        <v>267</v>
      </c>
      <c r="B72" s="59" t="s">
        <v>294</v>
      </c>
      <c r="C72" s="72">
        <v>800</v>
      </c>
      <c r="D72" s="29">
        <f>4600000-300000-2610500</f>
        <v>1689500</v>
      </c>
      <c r="E72" s="29">
        <v>4600000</v>
      </c>
      <c r="F72" s="29">
        <v>0</v>
      </c>
    </row>
    <row r="73" spans="1:6" s="46" customFormat="1" ht="63" customHeight="1">
      <c r="A73" s="63" t="s">
        <v>295</v>
      </c>
      <c r="B73" s="90" t="s">
        <v>296</v>
      </c>
      <c r="C73" s="90"/>
      <c r="D73" s="83">
        <f>D74+D81+D85+D77+D83+D79</f>
        <v>110951553.51</v>
      </c>
      <c r="E73" s="83">
        <f>E74+E81+E85+E77+E83+E79</f>
        <v>74479658.08</v>
      </c>
      <c r="F73" s="83">
        <f>F74+F81+F85+F77+F83+F79</f>
        <v>77302932.35</v>
      </c>
    </row>
    <row r="74" spans="1:6" s="46" customFormat="1" ht="15.75" customHeight="1">
      <c r="A74" s="87" t="s">
        <v>297</v>
      </c>
      <c r="B74" s="91" t="s">
        <v>298</v>
      </c>
      <c r="C74" s="91"/>
      <c r="D74" s="86">
        <f>SUM(D75:D76)</f>
        <v>2934301.78</v>
      </c>
      <c r="E74" s="86">
        <f>SUM(E75:E76)</f>
        <v>2744658.08</v>
      </c>
      <c r="F74" s="86">
        <f>SUM(F75:F76)</f>
        <v>2767433.35</v>
      </c>
    </row>
    <row r="75" spans="1:6" s="46" customFormat="1" ht="60.75" customHeight="1">
      <c r="A75" s="71" t="s">
        <v>264</v>
      </c>
      <c r="B75" s="92" t="s">
        <v>298</v>
      </c>
      <c r="C75" s="92" t="s">
        <v>299</v>
      </c>
      <c r="D75" s="29">
        <f>1489014.27+69883.49+72039.03-37340</f>
        <v>1593596.79</v>
      </c>
      <c r="E75" s="29">
        <v>1326085.12</v>
      </c>
      <c r="F75" s="29">
        <v>1326085.12</v>
      </c>
    </row>
    <row r="76" spans="1:6" s="46" customFormat="1" ht="30.75" customHeight="1">
      <c r="A76" s="71" t="s">
        <v>265</v>
      </c>
      <c r="B76" s="92" t="s">
        <v>298</v>
      </c>
      <c r="C76" s="93">
        <v>200</v>
      </c>
      <c r="D76" s="29">
        <f>1358734.26-1.38-18027.89</f>
        <v>1340704.99</v>
      </c>
      <c r="E76" s="29">
        <v>1418572.96</v>
      </c>
      <c r="F76" s="29">
        <v>1441348.23</v>
      </c>
    </row>
    <row r="77" spans="1:6" s="60" customFormat="1" ht="15.75" customHeight="1">
      <c r="A77" s="87" t="s">
        <v>300</v>
      </c>
      <c r="B77" s="91" t="s">
        <v>301</v>
      </c>
      <c r="C77" s="94"/>
      <c r="D77" s="86">
        <f>D78</f>
        <v>84680612.65</v>
      </c>
      <c r="E77" s="86">
        <f>E78</f>
        <v>61735000</v>
      </c>
      <c r="F77" s="86">
        <f>F78</f>
        <v>60585000</v>
      </c>
    </row>
    <row r="78" spans="1:6" s="46" customFormat="1" ht="15.75" customHeight="1">
      <c r="A78" s="71" t="s">
        <v>267</v>
      </c>
      <c r="B78" s="92" t="s">
        <v>301</v>
      </c>
      <c r="C78" s="93">
        <v>800</v>
      </c>
      <c r="D78" s="29">
        <f>60235000+7330612.65+17115000</f>
        <v>84680612.65</v>
      </c>
      <c r="E78" s="29">
        <f>60235000+1500000</f>
        <v>61735000</v>
      </c>
      <c r="F78" s="29">
        <f>60235000+350000</f>
        <v>60585000</v>
      </c>
    </row>
    <row r="79" spans="1:256" s="46" customFormat="1" ht="15.75" customHeight="1">
      <c r="A79" s="87" t="s">
        <v>302</v>
      </c>
      <c r="B79" s="91" t="s">
        <v>303</v>
      </c>
      <c r="C79" s="94"/>
      <c r="D79" s="89">
        <f>D80</f>
        <v>235200</v>
      </c>
      <c r="E79" s="89">
        <f>E80</f>
        <v>0</v>
      </c>
      <c r="F79" s="89">
        <f>F80</f>
        <v>3950499</v>
      </c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96"/>
      <c r="IK79" s="96"/>
      <c r="IL79" s="96"/>
      <c r="IM79" s="96"/>
      <c r="IN79" s="96"/>
      <c r="IO79" s="96"/>
      <c r="IP79" s="96"/>
      <c r="IQ79" s="96"/>
      <c r="IR79" s="96"/>
      <c r="IS79" s="96"/>
      <c r="IT79" s="96"/>
      <c r="IU79" s="96"/>
      <c r="IV79" s="96"/>
    </row>
    <row r="80" spans="1:6" s="46" customFormat="1" ht="15.75" customHeight="1">
      <c r="A80" s="71" t="s">
        <v>267</v>
      </c>
      <c r="B80" s="92" t="s">
        <v>303</v>
      </c>
      <c r="C80" s="93">
        <v>800</v>
      </c>
      <c r="D80" s="29">
        <f>3950499+8475249.5-8475249.5-3715299</f>
        <v>235200</v>
      </c>
      <c r="E80" s="29">
        <v>0</v>
      </c>
      <c r="F80" s="29">
        <v>3950499</v>
      </c>
    </row>
    <row r="81" spans="1:6" s="46" customFormat="1" ht="22.5" customHeight="1">
      <c r="A81" s="87" t="s">
        <v>304</v>
      </c>
      <c r="B81" s="91" t="s">
        <v>305</v>
      </c>
      <c r="C81" s="91"/>
      <c r="D81" s="86">
        <f>SUM(D82)</f>
        <v>8949439.08</v>
      </c>
      <c r="E81" s="86">
        <f>SUM(E82)</f>
        <v>0</v>
      </c>
      <c r="F81" s="86">
        <f>SUM(F82)</f>
        <v>0</v>
      </c>
    </row>
    <row r="82" spans="1:6" s="46" customFormat="1" ht="20.25" customHeight="1">
      <c r="A82" s="71" t="s">
        <v>267</v>
      </c>
      <c r="B82" s="92" t="s">
        <v>305</v>
      </c>
      <c r="C82" s="92" t="s">
        <v>306</v>
      </c>
      <c r="D82" s="29">
        <f>25163330.48-17326325.34+10000000+5000000+7515249.5-21402815.56</f>
        <v>8949439.08</v>
      </c>
      <c r="E82" s="29">
        <f aca="true" t="shared" si="3" ref="E82:F82">17326325.33-17326325.33</f>
        <v>0</v>
      </c>
      <c r="F82" s="29">
        <f t="shared" si="3"/>
        <v>0</v>
      </c>
    </row>
    <row r="83" spans="1:6" s="46" customFormat="1" ht="15.75" customHeight="1">
      <c r="A83" s="87" t="s">
        <v>307</v>
      </c>
      <c r="B83" s="91" t="s">
        <v>308</v>
      </c>
      <c r="C83" s="92"/>
      <c r="D83" s="86">
        <f>D84</f>
        <v>10000000</v>
      </c>
      <c r="E83" s="86">
        <f>E84</f>
        <v>10000000</v>
      </c>
      <c r="F83" s="86">
        <f>F84</f>
        <v>10000000</v>
      </c>
    </row>
    <row r="84" spans="1:6" s="46" customFormat="1" ht="15.75" customHeight="1">
      <c r="A84" s="71" t="s">
        <v>267</v>
      </c>
      <c r="B84" s="92" t="s">
        <v>308</v>
      </c>
      <c r="C84" s="92" t="s">
        <v>306</v>
      </c>
      <c r="D84" s="29">
        <v>10000000</v>
      </c>
      <c r="E84" s="29">
        <v>10000000</v>
      </c>
      <c r="F84" s="29">
        <v>10000000</v>
      </c>
    </row>
    <row r="85" spans="1:6" s="60" customFormat="1" ht="31.5" customHeight="1">
      <c r="A85" s="87" t="s">
        <v>309</v>
      </c>
      <c r="B85" s="91" t="s">
        <v>310</v>
      </c>
      <c r="C85" s="91"/>
      <c r="D85" s="86">
        <f>D86</f>
        <v>4152000</v>
      </c>
      <c r="E85" s="86">
        <f>E86</f>
        <v>0</v>
      </c>
      <c r="F85" s="86">
        <f>F86</f>
        <v>0</v>
      </c>
    </row>
    <row r="86" spans="1:6" s="46" customFormat="1" ht="15.75" customHeight="1">
      <c r="A86" s="71" t="s">
        <v>267</v>
      </c>
      <c r="B86" s="92" t="s">
        <v>310</v>
      </c>
      <c r="C86" s="92" t="s">
        <v>306</v>
      </c>
      <c r="D86" s="29">
        <f>33934862.15-9937000-23997862.15+3192000+960000</f>
        <v>4152000</v>
      </c>
      <c r="E86" s="29">
        <v>0</v>
      </c>
      <c r="F86" s="29">
        <v>0</v>
      </c>
    </row>
    <row r="87" spans="1:6" s="46" customFormat="1" ht="31.5" customHeight="1">
      <c r="A87" s="63" t="s">
        <v>311</v>
      </c>
      <c r="B87" s="64" t="s">
        <v>312</v>
      </c>
      <c r="C87" s="65"/>
      <c r="D87" s="83">
        <f>D88+D90+D93</f>
        <v>53150786.35</v>
      </c>
      <c r="E87" s="83">
        <f>E88+E90+E93</f>
        <v>32755435.5</v>
      </c>
      <c r="F87" s="83">
        <f>F88+F90+F93</f>
        <v>32755435.5</v>
      </c>
    </row>
    <row r="88" spans="1:6" s="60" customFormat="1" ht="15.75" customHeight="1">
      <c r="A88" s="87" t="s">
        <v>313</v>
      </c>
      <c r="B88" s="85" t="s">
        <v>314</v>
      </c>
      <c r="C88" s="61"/>
      <c r="D88" s="86">
        <f>D89</f>
        <v>2000000</v>
      </c>
      <c r="E88" s="86">
        <f>E89</f>
        <v>4000000</v>
      </c>
      <c r="F88" s="86">
        <f>F89</f>
        <v>4000000</v>
      </c>
    </row>
    <row r="89" spans="1:6" s="45" customFormat="1" ht="15.75" customHeight="1">
      <c r="A89" s="71" t="s">
        <v>267</v>
      </c>
      <c r="B89" s="59" t="s">
        <v>314</v>
      </c>
      <c r="C89" s="72">
        <v>800</v>
      </c>
      <c r="D89" s="97">
        <f>4000000-2000000</f>
        <v>2000000</v>
      </c>
      <c r="E89" s="97">
        <v>4000000</v>
      </c>
      <c r="F89" s="97">
        <v>4000000</v>
      </c>
    </row>
    <row r="90" spans="1:6" s="46" customFormat="1" ht="19.5" customHeight="1">
      <c r="A90" s="87" t="s">
        <v>315</v>
      </c>
      <c r="B90" s="85" t="s">
        <v>316</v>
      </c>
      <c r="C90" s="61"/>
      <c r="D90" s="86">
        <f>D91+D92</f>
        <v>14872000</v>
      </c>
      <c r="E90" s="86">
        <f>E91+E92</f>
        <v>13150000</v>
      </c>
      <c r="F90" s="86">
        <f>F91+F92</f>
        <v>13150000</v>
      </c>
    </row>
    <row r="91" spans="1:6" s="46" customFormat="1" ht="32.25" customHeight="1">
      <c r="A91" s="71" t="s">
        <v>265</v>
      </c>
      <c r="B91" s="59" t="s">
        <v>316</v>
      </c>
      <c r="C91" s="72">
        <v>200</v>
      </c>
      <c r="D91" s="29">
        <f>150000-150000</f>
        <v>0</v>
      </c>
      <c r="E91" s="29">
        <v>150000</v>
      </c>
      <c r="F91" s="29">
        <v>150000</v>
      </c>
    </row>
    <row r="92" spans="1:6" s="46" customFormat="1" ht="18.75" customHeight="1">
      <c r="A92" s="71" t="s">
        <v>267</v>
      </c>
      <c r="B92" s="59" t="s">
        <v>316</v>
      </c>
      <c r="C92" s="72">
        <v>800</v>
      </c>
      <c r="D92" s="29">
        <f>13000000+1872000</f>
        <v>14872000</v>
      </c>
      <c r="E92" s="29">
        <v>13000000</v>
      </c>
      <c r="F92" s="29">
        <v>13000000</v>
      </c>
    </row>
    <row r="93" spans="1:6" s="46" customFormat="1" ht="17.25" customHeight="1">
      <c r="A93" s="87" t="s">
        <v>317</v>
      </c>
      <c r="B93" s="85" t="s">
        <v>318</v>
      </c>
      <c r="C93" s="61"/>
      <c r="D93" s="86">
        <f>D94</f>
        <v>36278786.35</v>
      </c>
      <c r="E93" s="86">
        <f>E94</f>
        <v>15605435.5</v>
      </c>
      <c r="F93" s="86">
        <f>F94</f>
        <v>15605435.5</v>
      </c>
    </row>
    <row r="94" spans="1:6" s="46" customFormat="1" ht="30.75" customHeight="1">
      <c r="A94" s="71" t="s">
        <v>265</v>
      </c>
      <c r="B94" s="59" t="s">
        <v>318</v>
      </c>
      <c r="C94" s="72">
        <v>200</v>
      </c>
      <c r="D94" s="29">
        <f>162844427.17-71966737.32+71966737.32-40414971.6-86150669.22-1872000+1872000</f>
        <v>36278786.35</v>
      </c>
      <c r="E94" s="29">
        <f>15605435.5</f>
        <v>15605435.5</v>
      </c>
      <c r="F94" s="29">
        <v>15605435.5</v>
      </c>
    </row>
    <row r="95" spans="1:6" s="46" customFormat="1" ht="40.5" customHeight="1">
      <c r="A95" s="63" t="s">
        <v>319</v>
      </c>
      <c r="B95" s="64" t="s">
        <v>320</v>
      </c>
      <c r="C95" s="65"/>
      <c r="D95" s="83">
        <f>D96+D99+D108+D111+D103</f>
        <v>26115407.74</v>
      </c>
      <c r="E95" s="83">
        <f>E96+E99+E108+E111+E103</f>
        <v>30720249.57</v>
      </c>
      <c r="F95" s="83">
        <f>F96+F99+F108+F111+F103</f>
        <v>31523019.5016</v>
      </c>
    </row>
    <row r="96" spans="1:6" s="46" customFormat="1" ht="15.75" customHeight="1">
      <c r="A96" s="87" t="s">
        <v>262</v>
      </c>
      <c r="B96" s="85" t="s">
        <v>321</v>
      </c>
      <c r="C96" s="61"/>
      <c r="D96" s="86">
        <f>D97+D98</f>
        <v>14001323.58</v>
      </c>
      <c r="E96" s="86">
        <f>E97+E98</f>
        <v>13754135.47</v>
      </c>
      <c r="F96" s="86">
        <f>F97+F98</f>
        <v>14136265.17</v>
      </c>
    </row>
    <row r="97" spans="1:6" s="46" customFormat="1" ht="78" customHeight="1">
      <c r="A97" s="71" t="s">
        <v>264</v>
      </c>
      <c r="B97" s="59" t="s">
        <v>321</v>
      </c>
      <c r="C97" s="72">
        <v>100</v>
      </c>
      <c r="D97" s="29">
        <f>15327845-886792-267811.18-550750-596781.7+317983.87-7000+160282.76-303873.17</f>
        <v>13193103.58</v>
      </c>
      <c r="E97" s="29">
        <f>14817007.12-886792-267811.18-275375-596781.7</f>
        <v>12790247.24</v>
      </c>
      <c r="F97" s="29">
        <f>15476102.94-886792-267811.18-587694.31-596781.7</f>
        <v>13137023.75</v>
      </c>
    </row>
    <row r="98" spans="1:6" s="46" customFormat="1" ht="30.75" customHeight="1">
      <c r="A98" s="71" t="s">
        <v>265</v>
      </c>
      <c r="B98" s="59" t="s">
        <v>321</v>
      </c>
      <c r="C98" s="72">
        <v>200</v>
      </c>
      <c r="D98" s="29">
        <f>923026-7000-107806</f>
        <v>808220</v>
      </c>
      <c r="E98" s="29">
        <v>963888.23</v>
      </c>
      <c r="F98" s="29">
        <v>999241.42</v>
      </c>
    </row>
    <row r="99" spans="1:6" s="46" customFormat="1" ht="31.5" customHeight="1">
      <c r="A99" s="87" t="s">
        <v>322</v>
      </c>
      <c r="B99" s="85" t="s">
        <v>323</v>
      </c>
      <c r="C99" s="61"/>
      <c r="D99" s="86">
        <f>D101+D102+D100</f>
        <v>9144369.09</v>
      </c>
      <c r="E99" s="86">
        <f>E101+E102+E100</f>
        <v>12965895.96</v>
      </c>
      <c r="F99" s="86">
        <f>F101+F102+F100</f>
        <v>13290057.32</v>
      </c>
    </row>
    <row r="100" spans="1:6" s="46" customFormat="1" ht="77.25" customHeight="1">
      <c r="A100" s="71" t="s">
        <v>264</v>
      </c>
      <c r="B100" s="59" t="s">
        <v>323</v>
      </c>
      <c r="C100" s="72">
        <v>100</v>
      </c>
      <c r="D100" s="28">
        <f>447412.42-104117.62</f>
        <v>343294.8</v>
      </c>
      <c r="E100" s="28">
        <v>457203.75</v>
      </c>
      <c r="F100" s="28">
        <v>475491.9</v>
      </c>
    </row>
    <row r="101" spans="1:6" s="46" customFormat="1" ht="33.75" customHeight="1">
      <c r="A101" s="71" t="s">
        <v>265</v>
      </c>
      <c r="B101" s="59" t="s">
        <v>323</v>
      </c>
      <c r="C101" s="72">
        <v>200</v>
      </c>
      <c r="D101" s="28">
        <f>3587369.02-903197.32-1082925.41</f>
        <v>1601246.29</v>
      </c>
      <c r="E101" s="28">
        <v>3727843.53</v>
      </c>
      <c r="F101" s="28">
        <v>3865609.31</v>
      </c>
    </row>
    <row r="102" spans="1:6" s="46" customFormat="1" ht="15.75" customHeight="1">
      <c r="A102" s="71" t="s">
        <v>266</v>
      </c>
      <c r="B102" s="59" t="s">
        <v>323</v>
      </c>
      <c r="C102" s="72">
        <v>300</v>
      </c>
      <c r="D102" s="28">
        <f>8611450.6-1411622.6</f>
        <v>7199828</v>
      </c>
      <c r="E102" s="28">
        <v>8780848.68</v>
      </c>
      <c r="F102" s="28">
        <v>8948956.11</v>
      </c>
    </row>
    <row r="103" spans="1:256" s="46" customFormat="1" ht="31.5" customHeight="1">
      <c r="A103" s="87" t="s">
        <v>324</v>
      </c>
      <c r="B103" s="85" t="s">
        <v>325</v>
      </c>
      <c r="C103" s="61"/>
      <c r="D103" s="86">
        <f>SUM(D104:D107)</f>
        <v>758419</v>
      </c>
      <c r="E103" s="86">
        <f>SUM(E104:E107)</f>
        <v>805810.48</v>
      </c>
      <c r="F103" s="86">
        <f>SUM(F104:F107)</f>
        <v>829984.7916</v>
      </c>
      <c r="G103" s="95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  <c r="FZ103" s="96"/>
      <c r="GA103" s="96"/>
      <c r="GB103" s="96"/>
      <c r="GC103" s="96"/>
      <c r="GD103" s="96"/>
      <c r="GE103" s="96"/>
      <c r="GF103" s="96"/>
      <c r="GG103" s="96"/>
      <c r="GH103" s="96"/>
      <c r="GI103" s="96"/>
      <c r="GJ103" s="96"/>
      <c r="GK103" s="96"/>
      <c r="GR103" s="96"/>
      <c r="GS103" s="96"/>
      <c r="GT103" s="96"/>
      <c r="GU103" s="96"/>
      <c r="GV103" s="96"/>
      <c r="GW103" s="96"/>
      <c r="GX103" s="96"/>
      <c r="GY103" s="96"/>
      <c r="GZ103" s="96"/>
      <c r="HA103" s="96"/>
      <c r="HB103" s="96"/>
      <c r="HC103" s="96"/>
      <c r="HD103" s="96"/>
      <c r="HE103" s="96"/>
      <c r="HF103" s="96"/>
      <c r="HG103" s="96"/>
      <c r="HH103" s="96"/>
      <c r="HI103" s="96"/>
      <c r="HJ103" s="96"/>
      <c r="HK103" s="96"/>
      <c r="HL103" s="96"/>
      <c r="HM103" s="96"/>
      <c r="HN103" s="96"/>
      <c r="HO103" s="96"/>
      <c r="HP103" s="96"/>
      <c r="HQ103" s="96"/>
      <c r="HR103" s="96"/>
      <c r="HS103" s="96"/>
      <c r="HT103" s="96"/>
      <c r="HU103" s="96"/>
      <c r="HV103" s="96"/>
      <c r="HW103" s="96"/>
      <c r="HX103" s="96"/>
      <c r="HY103" s="96"/>
      <c r="HZ103" s="96"/>
      <c r="IA103" s="96"/>
      <c r="IB103" s="96"/>
      <c r="IC103" s="96"/>
      <c r="ID103" s="96"/>
      <c r="IE103" s="96"/>
      <c r="IF103" s="96"/>
      <c r="IG103" s="96"/>
      <c r="IH103" s="96"/>
      <c r="II103" s="96"/>
      <c r="IJ103" s="96"/>
      <c r="IK103" s="96"/>
      <c r="IL103" s="96"/>
      <c r="IM103" s="96"/>
      <c r="IN103" s="96"/>
      <c r="IO103" s="96"/>
      <c r="IP103" s="96"/>
      <c r="IQ103" s="96"/>
      <c r="IR103" s="96"/>
      <c r="IS103" s="96"/>
      <c r="IT103" s="96"/>
      <c r="IU103" s="96"/>
      <c r="IV103" s="96"/>
    </row>
    <row r="104" spans="1:6" s="46" customFormat="1" ht="30.75" customHeight="1">
      <c r="A104" s="71" t="s">
        <v>265</v>
      </c>
      <c r="B104" s="59" t="s">
        <v>325</v>
      </c>
      <c r="C104" s="72">
        <v>200</v>
      </c>
      <c r="D104" s="28">
        <f>257121.2-26062.2</f>
        <v>231059</v>
      </c>
      <c r="E104" s="28">
        <v>264211.76</v>
      </c>
      <c r="F104" s="28">
        <v>272138.11</v>
      </c>
    </row>
    <row r="105" spans="1:6" s="46" customFormat="1" ht="15.75" customHeight="1">
      <c r="A105" s="71" t="s">
        <v>266</v>
      </c>
      <c r="B105" s="59" t="s">
        <v>325</v>
      </c>
      <c r="C105" s="72">
        <v>300</v>
      </c>
      <c r="D105" s="28">
        <f>177360+350000</f>
        <v>527360</v>
      </c>
      <c r="E105" s="98">
        <v>181098.72</v>
      </c>
      <c r="F105" s="98">
        <f>E105*103%</f>
        <v>186531.6816</v>
      </c>
    </row>
    <row r="106" spans="1:6" s="46" customFormat="1" ht="30.75" customHeight="1">
      <c r="A106" s="71" t="s">
        <v>274</v>
      </c>
      <c r="B106" s="59" t="s">
        <v>325</v>
      </c>
      <c r="C106" s="72">
        <v>600</v>
      </c>
      <c r="D106" s="28">
        <f aca="true" t="shared" si="4" ref="D106:D107">350000-350000</f>
        <v>0</v>
      </c>
      <c r="E106" s="28">
        <v>360500</v>
      </c>
      <c r="F106" s="28">
        <v>371315</v>
      </c>
    </row>
    <row r="107" spans="1:6" s="46" customFormat="1" ht="15.75" customHeight="1">
      <c r="A107" s="71" t="s">
        <v>267</v>
      </c>
      <c r="B107" s="59" t="s">
        <v>325</v>
      </c>
      <c r="C107" s="72">
        <v>800</v>
      </c>
      <c r="D107" s="28">
        <f t="shared" si="4"/>
        <v>0</v>
      </c>
      <c r="E107" s="28">
        <v>0</v>
      </c>
      <c r="F107" s="28">
        <v>0</v>
      </c>
    </row>
    <row r="108" spans="1:6" s="60" customFormat="1" ht="15.75" customHeight="1">
      <c r="A108" s="87" t="s">
        <v>326</v>
      </c>
      <c r="B108" s="85" t="s">
        <v>327</v>
      </c>
      <c r="C108" s="61"/>
      <c r="D108" s="86">
        <f>D109+D110</f>
        <v>1882926.93</v>
      </c>
      <c r="E108" s="86">
        <f>E109+E110</f>
        <v>2193113.77</v>
      </c>
      <c r="F108" s="86">
        <f>F109+F110</f>
        <v>2233711.13</v>
      </c>
    </row>
    <row r="109" spans="1:6" s="46" customFormat="1" ht="30.75" customHeight="1">
      <c r="A109" s="71" t="s">
        <v>265</v>
      </c>
      <c r="B109" s="59" t="s">
        <v>327</v>
      </c>
      <c r="C109" s="72">
        <v>200</v>
      </c>
      <c r="D109" s="28">
        <f>1551444.96-56463-474773.03</f>
        <v>1020208.93</v>
      </c>
      <c r="E109" s="28">
        <v>1318401.77</v>
      </c>
      <c r="F109" s="28">
        <v>1358999.13</v>
      </c>
    </row>
    <row r="110" spans="1:6" s="46" customFormat="1" ht="15.75" customHeight="1">
      <c r="A110" s="71" t="s">
        <v>266</v>
      </c>
      <c r="B110" s="59" t="s">
        <v>327</v>
      </c>
      <c r="C110" s="72">
        <v>300</v>
      </c>
      <c r="D110" s="29">
        <f>874712-11994</f>
        <v>862718</v>
      </c>
      <c r="E110" s="29">
        <v>874712</v>
      </c>
      <c r="F110" s="29">
        <v>874712</v>
      </c>
    </row>
    <row r="111" spans="1:6" s="46" customFormat="1" ht="34.5" customHeight="1">
      <c r="A111" s="87" t="s">
        <v>328</v>
      </c>
      <c r="B111" s="91" t="s">
        <v>329</v>
      </c>
      <c r="C111" s="91"/>
      <c r="D111" s="86">
        <f>D112</f>
        <v>328369.14</v>
      </c>
      <c r="E111" s="86">
        <f>E112</f>
        <v>1001293.89</v>
      </c>
      <c r="F111" s="86">
        <f>F112</f>
        <v>1033001.09</v>
      </c>
    </row>
    <row r="112" spans="1:6" s="46" customFormat="1" ht="30" customHeight="1">
      <c r="A112" s="71" t="s">
        <v>265</v>
      </c>
      <c r="B112" s="92" t="s">
        <v>329</v>
      </c>
      <c r="C112" s="92" t="s">
        <v>330</v>
      </c>
      <c r="D112" s="29">
        <f>971158.94-241782.91-401006.89</f>
        <v>328369.14</v>
      </c>
      <c r="E112" s="29">
        <v>1001293.89</v>
      </c>
      <c r="F112" s="29">
        <v>1033001.09</v>
      </c>
    </row>
    <row r="113" spans="1:6" s="46" customFormat="1" ht="15.75" customHeight="1">
      <c r="A113" s="63" t="s">
        <v>331</v>
      </c>
      <c r="B113" s="90" t="s">
        <v>332</v>
      </c>
      <c r="C113" s="90"/>
      <c r="D113" s="83">
        <f>D114+D117</f>
        <v>9326432.93</v>
      </c>
      <c r="E113" s="83">
        <f>E114+E117</f>
        <v>10392102.59</v>
      </c>
      <c r="F113" s="83">
        <f>F114+F117</f>
        <v>11466791.85</v>
      </c>
    </row>
    <row r="114" spans="1:6" s="60" customFormat="1" ht="31.5" customHeight="1">
      <c r="A114" s="87" t="s">
        <v>333</v>
      </c>
      <c r="B114" s="91" t="s">
        <v>334</v>
      </c>
      <c r="C114" s="91"/>
      <c r="D114" s="86">
        <f>D116+D115</f>
        <v>8922782.93</v>
      </c>
      <c r="E114" s="86">
        <f>E116+E115</f>
        <v>8787830</v>
      </c>
      <c r="F114" s="86">
        <f>F116+F115</f>
        <v>8990000</v>
      </c>
    </row>
    <row r="115" spans="1:256" s="60" customFormat="1" ht="33.75" customHeight="1">
      <c r="A115" s="71" t="s">
        <v>265</v>
      </c>
      <c r="B115" s="92" t="s">
        <v>334</v>
      </c>
      <c r="C115" s="92" t="s">
        <v>330</v>
      </c>
      <c r="D115" s="97">
        <f>194000-0.08</f>
        <v>193999.92</v>
      </c>
      <c r="E115" s="97">
        <v>194000</v>
      </c>
      <c r="F115" s="97">
        <v>194000</v>
      </c>
      <c r="G115" s="1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6" s="46" customFormat="1" ht="15.75" customHeight="1">
      <c r="A116" s="71" t="s">
        <v>266</v>
      </c>
      <c r="B116" s="92" t="s">
        <v>334</v>
      </c>
      <c r="C116" s="92" t="s">
        <v>335</v>
      </c>
      <c r="D116" s="29">
        <f>8796000-84999.3-689327.69+506916+200194</f>
        <v>8728783.01</v>
      </c>
      <c r="E116" s="29">
        <v>8593830</v>
      </c>
      <c r="F116" s="29">
        <v>8796000</v>
      </c>
    </row>
    <row r="117" spans="1:256" s="46" customFormat="1" ht="15.75" customHeight="1">
      <c r="A117" s="87" t="s">
        <v>336</v>
      </c>
      <c r="B117" s="91" t="s">
        <v>337</v>
      </c>
      <c r="C117" s="91"/>
      <c r="D117" s="86">
        <f>SUBTOTAL(9,D118:D120)</f>
        <v>403650</v>
      </c>
      <c r="E117" s="86">
        <f>SUBTOTAL(9,E118:E120)</f>
        <v>1604272.59</v>
      </c>
      <c r="F117" s="86">
        <f>SUBTOTAL(9,F118:F120)</f>
        <v>2476791.85</v>
      </c>
      <c r="G117" s="95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  <c r="FZ117" s="96"/>
      <c r="GA117" s="96"/>
      <c r="GB117" s="96"/>
      <c r="GC117" s="96"/>
      <c r="GD117" s="96"/>
      <c r="GE117" s="96"/>
      <c r="GF117" s="96"/>
      <c r="GG117" s="96"/>
      <c r="GH117" s="96"/>
      <c r="GI117" s="96"/>
      <c r="GJ117" s="96"/>
      <c r="GK117" s="96"/>
      <c r="GR117" s="96"/>
      <c r="GS117" s="96"/>
      <c r="GT117" s="96"/>
      <c r="GU117" s="96"/>
      <c r="GV117" s="96"/>
      <c r="GW117" s="96"/>
      <c r="GX117" s="96"/>
      <c r="GY117" s="96"/>
      <c r="GZ117" s="96"/>
      <c r="HA117" s="96"/>
      <c r="HB117" s="96"/>
      <c r="HC117" s="96"/>
      <c r="HD117" s="96"/>
      <c r="HE117" s="96"/>
      <c r="HF117" s="96"/>
      <c r="HG117" s="96"/>
      <c r="HH117" s="96"/>
      <c r="HI117" s="96"/>
      <c r="HJ117" s="96"/>
      <c r="HK117" s="96"/>
      <c r="HL117" s="96"/>
      <c r="HM117" s="96"/>
      <c r="HN117" s="96"/>
      <c r="HO117" s="96"/>
      <c r="HP117" s="96"/>
      <c r="HQ117" s="96"/>
      <c r="HR117" s="96"/>
      <c r="HS117" s="96"/>
      <c r="HT117" s="96"/>
      <c r="HU117" s="96"/>
      <c r="HV117" s="96"/>
      <c r="HW117" s="96"/>
      <c r="HX117" s="96"/>
      <c r="HY117" s="96"/>
      <c r="HZ117" s="96"/>
      <c r="IA117" s="96"/>
      <c r="IB117" s="96"/>
      <c r="IC117" s="96"/>
      <c r="ID117" s="96"/>
      <c r="IE117" s="96"/>
      <c r="IF117" s="96"/>
      <c r="IG117" s="96"/>
      <c r="IH117" s="96"/>
      <c r="II117" s="96"/>
      <c r="IJ117" s="96"/>
      <c r="IK117" s="96"/>
      <c r="IL117" s="96"/>
      <c r="IM117" s="96"/>
      <c r="IN117" s="96"/>
      <c r="IO117" s="96"/>
      <c r="IP117" s="96"/>
      <c r="IQ117" s="96"/>
      <c r="IR117" s="96"/>
      <c r="IS117" s="96"/>
      <c r="IT117" s="96"/>
      <c r="IU117" s="96"/>
      <c r="IV117" s="96"/>
    </row>
    <row r="118" spans="1:256" s="46" customFormat="1" ht="84" customHeight="1">
      <c r="A118" s="71" t="s">
        <v>264</v>
      </c>
      <c r="B118" s="92" t="s">
        <v>337</v>
      </c>
      <c r="C118" s="92" t="s">
        <v>299</v>
      </c>
      <c r="D118" s="29">
        <f>122640-122640</f>
        <v>0</v>
      </c>
      <c r="E118" s="29">
        <v>128843.64</v>
      </c>
      <c r="F118" s="29">
        <v>0</v>
      </c>
      <c r="G118" s="95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  <c r="HR118" s="96"/>
      <c r="HS118" s="96"/>
      <c r="HT118" s="96"/>
      <c r="HU118" s="96"/>
      <c r="HV118" s="96"/>
      <c r="HW118" s="96"/>
      <c r="HX118" s="96"/>
      <c r="HY118" s="96"/>
      <c r="HZ118" s="96"/>
      <c r="IA118" s="96"/>
      <c r="IB118" s="96"/>
      <c r="IC118" s="96"/>
      <c r="ID118" s="96"/>
      <c r="IE118" s="96"/>
      <c r="IF118" s="96"/>
      <c r="IG118" s="96"/>
      <c r="IH118" s="96"/>
      <c r="II118" s="96"/>
      <c r="IJ118" s="96"/>
      <c r="IK118" s="96"/>
      <c r="IL118" s="96"/>
      <c r="IM118" s="96"/>
      <c r="IN118" s="96"/>
      <c r="IO118" s="96"/>
      <c r="IP118" s="96"/>
      <c r="IQ118" s="96"/>
      <c r="IR118" s="96"/>
      <c r="IS118" s="96"/>
      <c r="IT118" s="96"/>
      <c r="IU118" s="96"/>
      <c r="IV118" s="96"/>
    </row>
    <row r="119" spans="1:256" s="46" customFormat="1" ht="30.75" customHeight="1">
      <c r="A119" s="71" t="s">
        <v>265</v>
      </c>
      <c r="B119" s="92" t="s">
        <v>337</v>
      </c>
      <c r="C119" s="92" t="s">
        <v>330</v>
      </c>
      <c r="D119" s="29">
        <f>950324-77554-469120</f>
        <v>403650</v>
      </c>
      <c r="E119" s="29">
        <v>1235428.95</v>
      </c>
      <c r="F119" s="29">
        <v>2476791.85</v>
      </c>
      <c r="G119" s="95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  <c r="IA119" s="96"/>
      <c r="IB119" s="96"/>
      <c r="IC119" s="96"/>
      <c r="ID119" s="96"/>
      <c r="IE119" s="96"/>
      <c r="IF119" s="96"/>
      <c r="IG119" s="96"/>
      <c r="IH119" s="96"/>
      <c r="II119" s="96"/>
      <c r="IJ119" s="96"/>
      <c r="IK119" s="96"/>
      <c r="IL119" s="96"/>
      <c r="IM119" s="96"/>
      <c r="IN119" s="96"/>
      <c r="IO119" s="96"/>
      <c r="IP119" s="96"/>
      <c r="IQ119" s="96"/>
      <c r="IR119" s="96"/>
      <c r="IS119" s="96"/>
      <c r="IT119" s="96"/>
      <c r="IU119" s="96"/>
      <c r="IV119" s="96"/>
    </row>
    <row r="120" spans="1:6" s="46" customFormat="1" ht="15.75" customHeight="1">
      <c r="A120" s="71" t="s">
        <v>266</v>
      </c>
      <c r="B120" s="93">
        <v>1540000000</v>
      </c>
      <c r="C120" s="92" t="s">
        <v>335</v>
      </c>
      <c r="D120" s="29">
        <v>0</v>
      </c>
      <c r="E120" s="29">
        <v>240000</v>
      </c>
      <c r="F120" s="29">
        <v>0</v>
      </c>
    </row>
    <row r="121" spans="1:6" s="46" customFormat="1" ht="47.25" customHeight="1">
      <c r="A121" s="63" t="s">
        <v>338</v>
      </c>
      <c r="B121" s="90" t="s">
        <v>339</v>
      </c>
      <c r="C121" s="90"/>
      <c r="D121" s="83">
        <f>D122+D124</f>
        <v>57428839.45</v>
      </c>
      <c r="E121" s="83">
        <f>E122+E124</f>
        <v>66277200</v>
      </c>
      <c r="F121" s="83">
        <f>F122+F124</f>
        <v>66435155</v>
      </c>
    </row>
    <row r="122" spans="1:6" s="46" customFormat="1" ht="31.5" customHeight="1">
      <c r="A122" s="87" t="s">
        <v>340</v>
      </c>
      <c r="B122" s="91" t="s">
        <v>341</v>
      </c>
      <c r="C122" s="91"/>
      <c r="D122" s="86">
        <f>SUM(D123:D123)</f>
        <v>8152727.29</v>
      </c>
      <c r="E122" s="86">
        <f>SUM(E123:E123)</f>
        <v>11277200</v>
      </c>
      <c r="F122" s="86">
        <f>SUM(F123:F123)</f>
        <v>9735155</v>
      </c>
    </row>
    <row r="123" spans="1:6" s="46" customFormat="1" ht="30.75" customHeight="1">
      <c r="A123" s="71" t="s">
        <v>265</v>
      </c>
      <c r="B123" s="92" t="s">
        <v>341</v>
      </c>
      <c r="C123" s="92" t="s">
        <v>330</v>
      </c>
      <c r="D123" s="29">
        <f>9648290-520151.56-975411.15</f>
        <v>8152727.29</v>
      </c>
      <c r="E123" s="29">
        <v>11277200</v>
      </c>
      <c r="F123" s="29">
        <v>9735155</v>
      </c>
    </row>
    <row r="124" spans="1:6" s="60" customFormat="1" ht="39" customHeight="1">
      <c r="A124" s="87" t="s">
        <v>342</v>
      </c>
      <c r="B124" s="91" t="s">
        <v>343</v>
      </c>
      <c r="C124" s="91"/>
      <c r="D124" s="86">
        <f>D125+D126</f>
        <v>49276112.16</v>
      </c>
      <c r="E124" s="86">
        <f>E125+E126</f>
        <v>55000000</v>
      </c>
      <c r="F124" s="86">
        <f>F125+F126</f>
        <v>56700000</v>
      </c>
    </row>
    <row r="125" spans="1:6" s="46" customFormat="1" ht="15.75" customHeight="1">
      <c r="A125" s="71" t="s">
        <v>266</v>
      </c>
      <c r="B125" s="92" t="s">
        <v>343</v>
      </c>
      <c r="C125" s="92" t="s">
        <v>335</v>
      </c>
      <c r="D125" s="29">
        <f>38100000+1282360.26-4901009.68-505238.42-100000</f>
        <v>33876112.16</v>
      </c>
      <c r="E125" s="29">
        <v>39400000</v>
      </c>
      <c r="F125" s="29">
        <v>41100000</v>
      </c>
    </row>
    <row r="126" spans="1:6" s="46" customFormat="1" ht="30.75" customHeight="1">
      <c r="A126" s="71" t="s">
        <v>290</v>
      </c>
      <c r="B126" s="92" t="s">
        <v>343</v>
      </c>
      <c r="C126" s="92" t="s">
        <v>344</v>
      </c>
      <c r="D126" s="29">
        <v>15400000</v>
      </c>
      <c r="E126" s="29">
        <v>15600000</v>
      </c>
      <c r="F126" s="29">
        <v>15600000</v>
      </c>
    </row>
    <row r="127" spans="1:6" s="46" customFormat="1" ht="31.5" customHeight="1">
      <c r="A127" s="63" t="s">
        <v>345</v>
      </c>
      <c r="B127" s="90" t="s">
        <v>346</v>
      </c>
      <c r="C127" s="90"/>
      <c r="D127" s="83">
        <f>D128+D132+D136</f>
        <v>375003497</v>
      </c>
      <c r="E127" s="83">
        <f>E128+E132+E136</f>
        <v>276985989.95</v>
      </c>
      <c r="F127" s="83">
        <f>F128+F132+F136</f>
        <v>317524529.65</v>
      </c>
    </row>
    <row r="128" spans="1:6" s="46" customFormat="1" ht="15.75" customHeight="1">
      <c r="A128" s="87" t="s">
        <v>262</v>
      </c>
      <c r="B128" s="91" t="s">
        <v>347</v>
      </c>
      <c r="C128" s="91"/>
      <c r="D128" s="86">
        <f>SUM(D129:D131)</f>
        <v>32707249.57</v>
      </c>
      <c r="E128" s="86">
        <f>SUM(E129:E131)</f>
        <v>35124419.43</v>
      </c>
      <c r="F128" s="86">
        <f>SUM(F129:F131)</f>
        <v>35109419.73</v>
      </c>
    </row>
    <row r="129" spans="1:6" s="46" customFormat="1" ht="79.5" customHeight="1">
      <c r="A129" s="71" t="s">
        <v>264</v>
      </c>
      <c r="B129" s="92" t="s">
        <v>347</v>
      </c>
      <c r="C129" s="92" t="s">
        <v>299</v>
      </c>
      <c r="D129" s="29">
        <f>34684190-1294000-150900-58000-1998370.13-152099.25-266015.72</f>
        <v>30764804.9</v>
      </c>
      <c r="E129" s="29">
        <f aca="true" t="shared" si="5" ref="E129:F129">34684190-1294000-150900</f>
        <v>33239290</v>
      </c>
      <c r="F129" s="29">
        <f t="shared" si="5"/>
        <v>33239290</v>
      </c>
    </row>
    <row r="130" spans="1:6" s="46" customFormat="1" ht="30.75" customHeight="1">
      <c r="A130" s="71" t="s">
        <v>265</v>
      </c>
      <c r="B130" s="92" t="s">
        <v>347</v>
      </c>
      <c r="C130" s="92" t="s">
        <v>330</v>
      </c>
      <c r="D130" s="29">
        <f>1799932+139512.67</f>
        <v>1939444.67</v>
      </c>
      <c r="E130" s="29">
        <v>1882129.43</v>
      </c>
      <c r="F130" s="29">
        <v>1867129.73</v>
      </c>
    </row>
    <row r="131" spans="1:6" s="46" customFormat="1" ht="15.75" customHeight="1">
      <c r="A131" s="71" t="s">
        <v>267</v>
      </c>
      <c r="B131" s="92" t="s">
        <v>347</v>
      </c>
      <c r="C131" s="92" t="s">
        <v>306</v>
      </c>
      <c r="D131" s="29">
        <v>3000</v>
      </c>
      <c r="E131" s="29">
        <v>3000</v>
      </c>
      <c r="F131" s="29">
        <v>3000</v>
      </c>
    </row>
    <row r="132" spans="1:6" s="46" customFormat="1" ht="15.75" customHeight="1">
      <c r="A132" s="84" t="s">
        <v>348</v>
      </c>
      <c r="B132" s="91" t="s">
        <v>349</v>
      </c>
      <c r="C132" s="91"/>
      <c r="D132" s="86">
        <f>SUM(D133:D135)</f>
        <v>332212179.77</v>
      </c>
      <c r="E132" s="86">
        <f>SUM(E133:E135)</f>
        <v>241283520.52</v>
      </c>
      <c r="F132" s="86">
        <f>SUM(F133:F135)</f>
        <v>281843109.92</v>
      </c>
    </row>
    <row r="133" spans="1:6" s="46" customFormat="1" ht="30.75" customHeight="1">
      <c r="A133" s="71" t="s">
        <v>265</v>
      </c>
      <c r="B133" s="92" t="s">
        <v>349</v>
      </c>
      <c r="C133" s="92" t="s">
        <v>330</v>
      </c>
      <c r="D133" s="29">
        <f>6551548-265000+39234+643751.65+407701.2+334000+2235981.29+2612384.4+1241521.3-2750+895411.2-2394679.29</f>
        <v>12299103.75</v>
      </c>
      <c r="E133" s="29">
        <v>6885676.95</v>
      </c>
      <c r="F133" s="29">
        <v>6813609.92</v>
      </c>
    </row>
    <row r="134" spans="1:6" s="46" customFormat="1" ht="30.75" customHeight="1">
      <c r="A134" s="71" t="s">
        <v>350</v>
      </c>
      <c r="B134" s="92" t="s">
        <v>349</v>
      </c>
      <c r="C134" s="92" t="s">
        <v>344</v>
      </c>
      <c r="D134" s="29">
        <f>473645349.51+1221712.8+1236000-12500000.01-201600-1275234-1863678.81-139512.67+3644565-3644565-334000-407701.2-570356-106000-1248717.17-643751.65-1282360.26-18218243-21325752.29-2122700+5940638+2228000-84115827.94-348666.67-16051580-1605692.62</f>
        <v>319910326.02</v>
      </c>
      <c r="E134" s="29">
        <v>234397843.57</v>
      </c>
      <c r="F134" s="29">
        <v>275029500</v>
      </c>
    </row>
    <row r="135" spans="1:6" s="46" customFormat="1" ht="15.75" customHeight="1">
      <c r="A135" s="71" t="s">
        <v>267</v>
      </c>
      <c r="B135" s="92" t="s">
        <v>349</v>
      </c>
      <c r="C135" s="92" t="s">
        <v>306</v>
      </c>
      <c r="D135" s="29">
        <v>2750</v>
      </c>
      <c r="E135" s="29">
        <v>0</v>
      </c>
      <c r="F135" s="29">
        <v>0</v>
      </c>
    </row>
    <row r="136" spans="1:6" s="46" customFormat="1" ht="36" customHeight="1">
      <c r="A136" s="87" t="s">
        <v>351</v>
      </c>
      <c r="B136" s="91" t="s">
        <v>352</v>
      </c>
      <c r="C136" s="91"/>
      <c r="D136" s="86">
        <f>D137+D138</f>
        <v>10084067.66</v>
      </c>
      <c r="E136" s="86">
        <f>E137+E138</f>
        <v>578050</v>
      </c>
      <c r="F136" s="86">
        <f>F137+F138</f>
        <v>572000</v>
      </c>
    </row>
    <row r="137" spans="1:6" s="46" customFormat="1" ht="30.75" customHeight="1">
      <c r="A137" s="71" t="s">
        <v>265</v>
      </c>
      <c r="B137" s="92" t="s">
        <v>352</v>
      </c>
      <c r="C137" s="92" t="s">
        <v>330</v>
      </c>
      <c r="D137" s="29">
        <f>11271724-158891-1187656.34</f>
        <v>9925176.66</v>
      </c>
      <c r="E137" s="29">
        <v>578050</v>
      </c>
      <c r="F137" s="29">
        <v>572000</v>
      </c>
    </row>
    <row r="138" spans="1:6" s="46" customFormat="1" ht="15.75" customHeight="1">
      <c r="A138" s="71" t="s">
        <v>267</v>
      </c>
      <c r="B138" s="92" t="s">
        <v>352</v>
      </c>
      <c r="C138" s="92" t="s">
        <v>306</v>
      </c>
      <c r="D138" s="29">
        <v>158891</v>
      </c>
      <c r="E138" s="29">
        <v>0</v>
      </c>
      <c r="F138" s="29">
        <v>0</v>
      </c>
    </row>
    <row r="139" spans="1:6" s="46" customFormat="1" ht="31.5" customHeight="1">
      <c r="A139" s="63" t="s">
        <v>353</v>
      </c>
      <c r="B139" s="90" t="s">
        <v>354</v>
      </c>
      <c r="C139" s="90"/>
      <c r="D139" s="83">
        <f>D140+D145+D148</f>
        <v>128255582.67</v>
      </c>
      <c r="E139" s="83">
        <f>E140+E145+E148</f>
        <v>132422275.45</v>
      </c>
      <c r="F139" s="83">
        <f>F140+F145+F148</f>
        <v>133338261.46</v>
      </c>
    </row>
    <row r="140" spans="1:6" s="60" customFormat="1" ht="15.75" customHeight="1">
      <c r="A140" s="87" t="s">
        <v>262</v>
      </c>
      <c r="B140" s="91" t="s">
        <v>355</v>
      </c>
      <c r="C140" s="91"/>
      <c r="D140" s="86">
        <f>SUBTOTAL(9,D141:D144)</f>
        <v>113762292.25</v>
      </c>
      <c r="E140" s="86">
        <f>SUBTOTAL(9,E141:E144)</f>
        <v>116422275.45</v>
      </c>
      <c r="F140" s="86">
        <f>SUBTOTAL(9,F141:F144)</f>
        <v>117338261.46</v>
      </c>
    </row>
    <row r="141" spans="1:256" s="60" customFormat="1" ht="78.75" customHeight="1">
      <c r="A141" s="71" t="s">
        <v>264</v>
      </c>
      <c r="B141" s="92" t="s">
        <v>355</v>
      </c>
      <c r="C141" s="92" t="s">
        <v>299</v>
      </c>
      <c r="D141" s="97">
        <f>91097965.46-1844200-160000-50000-844879.43+150000+894770-50000-300217.79-299426+70000-1562400</f>
        <v>87101612.24</v>
      </c>
      <c r="E141" s="97">
        <f aca="true" t="shared" si="6" ref="E141:F141">91097965.46-1844200</f>
        <v>89253765.46</v>
      </c>
      <c r="F141" s="97">
        <f t="shared" si="6"/>
        <v>89253765.46</v>
      </c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60" customFormat="1" ht="36.75" customHeight="1">
      <c r="A142" s="71" t="s">
        <v>265</v>
      </c>
      <c r="B142" s="92" t="s">
        <v>355</v>
      </c>
      <c r="C142" s="92" t="s">
        <v>330</v>
      </c>
      <c r="D142" s="97">
        <f>23291950.85-213115.16-13792.47</f>
        <v>23065043.22</v>
      </c>
      <c r="E142" s="97">
        <v>23672873.2</v>
      </c>
      <c r="F142" s="97">
        <v>24588859.21</v>
      </c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60" customFormat="1" ht="36.75" customHeight="1">
      <c r="A143" s="71" t="s">
        <v>266</v>
      </c>
      <c r="B143" s="92" t="s">
        <v>355</v>
      </c>
      <c r="C143" s="92" t="s">
        <v>335</v>
      </c>
      <c r="D143" s="97">
        <f>50000+50000</f>
        <v>100000</v>
      </c>
      <c r="E143" s="97">
        <v>0</v>
      </c>
      <c r="F143" s="97">
        <v>0</v>
      </c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6" s="45" customFormat="1" ht="15.75" customHeight="1">
      <c r="A144" s="71" t="s">
        <v>267</v>
      </c>
      <c r="B144" s="92" t="s">
        <v>355</v>
      </c>
      <c r="C144" s="92" t="s">
        <v>306</v>
      </c>
      <c r="D144" s="97">
        <v>3495636.79</v>
      </c>
      <c r="E144" s="97">
        <v>3495636.79</v>
      </c>
      <c r="F144" s="97">
        <v>3495636.79</v>
      </c>
    </row>
    <row r="145" spans="1:6" s="60" customFormat="1" ht="15.75" customHeight="1">
      <c r="A145" s="87" t="s">
        <v>356</v>
      </c>
      <c r="B145" s="91" t="s">
        <v>357</v>
      </c>
      <c r="C145" s="91"/>
      <c r="D145" s="86">
        <f>D147+D146</f>
        <v>7927407.42</v>
      </c>
      <c r="E145" s="86">
        <f>E147+E146</f>
        <v>8000000</v>
      </c>
      <c r="F145" s="86">
        <f>F147+F146</f>
        <v>8000000</v>
      </c>
    </row>
    <row r="146" spans="1:6" s="60" customFormat="1" ht="61.5" customHeight="1">
      <c r="A146" s="71" t="s">
        <v>264</v>
      </c>
      <c r="B146" s="92" t="s">
        <v>357</v>
      </c>
      <c r="C146" s="92" t="s">
        <v>299</v>
      </c>
      <c r="D146" s="97">
        <f>6600000-1530000-140000-152592.58-700000-780000</f>
        <v>3297407.42</v>
      </c>
      <c r="E146" s="97">
        <v>6600000</v>
      </c>
      <c r="F146" s="97">
        <v>6600000</v>
      </c>
    </row>
    <row r="147" spans="1:6" s="45" customFormat="1" ht="33.75" customHeight="1">
      <c r="A147" s="71" t="s">
        <v>265</v>
      </c>
      <c r="B147" s="92" t="s">
        <v>357</v>
      </c>
      <c r="C147" s="92" t="s">
        <v>330</v>
      </c>
      <c r="D147" s="97">
        <f>1400000+1000000+252000+218000+60000+140000+1560000</f>
        <v>4630000</v>
      </c>
      <c r="E147" s="97">
        <v>1400000</v>
      </c>
      <c r="F147" s="97">
        <v>1400000</v>
      </c>
    </row>
    <row r="148" spans="1:6" s="46" customFormat="1" ht="15.75" customHeight="1">
      <c r="A148" s="87" t="s">
        <v>358</v>
      </c>
      <c r="B148" s="91" t="s">
        <v>359</v>
      </c>
      <c r="C148" s="91"/>
      <c r="D148" s="86">
        <f>D150+D149</f>
        <v>6565883</v>
      </c>
      <c r="E148" s="86">
        <f>E150+E149</f>
        <v>8000000</v>
      </c>
      <c r="F148" s="86">
        <f>F150+F149</f>
        <v>8000000</v>
      </c>
    </row>
    <row r="149" spans="1:6" s="46" customFormat="1" ht="78" customHeight="1">
      <c r="A149" s="71" t="s">
        <v>264</v>
      </c>
      <c r="B149" s="99" t="s">
        <v>359</v>
      </c>
      <c r="C149" s="92" t="s">
        <v>299</v>
      </c>
      <c r="D149" s="29">
        <f>7000000-1150000-210000-780000-62703</f>
        <v>4797297</v>
      </c>
      <c r="E149" s="29">
        <v>7000000</v>
      </c>
      <c r="F149" s="29">
        <v>7000000</v>
      </c>
    </row>
    <row r="150" spans="1:6" s="46" customFormat="1" ht="30.75" customHeight="1">
      <c r="A150" s="71" t="s">
        <v>265</v>
      </c>
      <c r="B150" s="92" t="s">
        <v>359</v>
      </c>
      <c r="C150" s="92" t="s">
        <v>330</v>
      </c>
      <c r="D150" s="29">
        <f>1000000+150000+1000000-381414</f>
        <v>1768586</v>
      </c>
      <c r="E150" s="29">
        <v>1000000</v>
      </c>
      <c r="F150" s="29">
        <v>1000000</v>
      </c>
    </row>
    <row r="151" spans="1:6" s="46" customFormat="1" ht="15.75" customHeight="1">
      <c r="A151" s="63" t="s">
        <v>360</v>
      </c>
      <c r="B151" s="90" t="s">
        <v>361</v>
      </c>
      <c r="C151" s="90"/>
      <c r="D151" s="83">
        <f>D152</f>
        <v>1207677.04</v>
      </c>
      <c r="E151" s="83">
        <f>E152</f>
        <v>2995900</v>
      </c>
      <c r="F151" s="83">
        <f>F152</f>
        <v>2995900</v>
      </c>
    </row>
    <row r="152" spans="1:6" s="60" customFormat="1" ht="31.5" customHeight="1">
      <c r="A152" s="84" t="s">
        <v>362</v>
      </c>
      <c r="B152" s="91" t="s">
        <v>363</v>
      </c>
      <c r="C152" s="91"/>
      <c r="D152" s="86">
        <f>D153+D154+D155</f>
        <v>1207677.04</v>
      </c>
      <c r="E152" s="86">
        <f>E153+E154+E155</f>
        <v>2995900</v>
      </c>
      <c r="F152" s="86">
        <f>F153+F154+F155</f>
        <v>2995900</v>
      </c>
    </row>
    <row r="153" spans="1:6" s="45" customFormat="1" ht="83.25" customHeight="1">
      <c r="A153" s="71" t="s">
        <v>264</v>
      </c>
      <c r="B153" s="91" t="s">
        <v>363</v>
      </c>
      <c r="C153" s="92" t="s">
        <v>299</v>
      </c>
      <c r="D153" s="97">
        <f>127200-67200-60000</f>
        <v>0</v>
      </c>
      <c r="E153" s="97">
        <v>127200</v>
      </c>
      <c r="F153" s="97">
        <v>127200</v>
      </c>
    </row>
    <row r="154" spans="1:6" s="46" customFormat="1" ht="30.75" customHeight="1">
      <c r="A154" s="71" t="s">
        <v>265</v>
      </c>
      <c r="B154" s="91" t="s">
        <v>363</v>
      </c>
      <c r="C154" s="92" t="s">
        <v>330</v>
      </c>
      <c r="D154" s="29">
        <f>969200+106000-306338.96-23750</f>
        <v>745111.04</v>
      </c>
      <c r="E154" s="29">
        <f aca="true" t="shared" si="7" ref="E154:F154">969200+35000</f>
        <v>1004200</v>
      </c>
      <c r="F154" s="29">
        <f t="shared" si="7"/>
        <v>1004200</v>
      </c>
    </row>
    <row r="155" spans="1:6" s="46" customFormat="1" ht="15.75" customHeight="1">
      <c r="A155" s="71" t="s">
        <v>266</v>
      </c>
      <c r="B155" s="91" t="s">
        <v>363</v>
      </c>
      <c r="C155" s="92" t="s">
        <v>335</v>
      </c>
      <c r="D155" s="29">
        <f>1864500-1401934</f>
        <v>462566</v>
      </c>
      <c r="E155" s="29">
        <v>1864500</v>
      </c>
      <c r="F155" s="29">
        <v>1864500</v>
      </c>
    </row>
    <row r="156" spans="1:6" s="60" customFormat="1" ht="31.5" customHeight="1">
      <c r="A156" s="63" t="s">
        <v>364</v>
      </c>
      <c r="B156" s="100">
        <v>3200000000</v>
      </c>
      <c r="C156" s="101"/>
      <c r="D156" s="102">
        <f>D157</f>
        <v>3487500</v>
      </c>
      <c r="E156" s="102">
        <f>E157</f>
        <v>6000000</v>
      </c>
      <c r="F156" s="102">
        <f>F157</f>
        <v>6000000</v>
      </c>
    </row>
    <row r="157" spans="1:6" s="60" customFormat="1" ht="15.75" customHeight="1">
      <c r="A157" s="87" t="s">
        <v>365</v>
      </c>
      <c r="B157" s="103">
        <v>3210000000</v>
      </c>
      <c r="C157" s="104"/>
      <c r="D157" s="89">
        <f>D158+D159</f>
        <v>3487500</v>
      </c>
      <c r="E157" s="89">
        <f>E158+E159</f>
        <v>6000000</v>
      </c>
      <c r="F157" s="89">
        <f>F158+F159</f>
        <v>6000000</v>
      </c>
    </row>
    <row r="158" spans="1:6" s="60" customFormat="1" ht="30.75" customHeight="1">
      <c r="A158" s="71" t="s">
        <v>265</v>
      </c>
      <c r="B158" s="93">
        <v>3210000000</v>
      </c>
      <c r="C158" s="93">
        <v>200</v>
      </c>
      <c r="D158" s="97">
        <f>300000-220000</f>
        <v>80000</v>
      </c>
      <c r="E158" s="97">
        <v>300000</v>
      </c>
      <c r="F158" s="97">
        <v>300000</v>
      </c>
    </row>
    <row r="159" spans="1:6" s="46" customFormat="1" ht="30.75" customHeight="1">
      <c r="A159" s="71" t="s">
        <v>274</v>
      </c>
      <c r="B159" s="93">
        <v>3210000000</v>
      </c>
      <c r="C159" s="93">
        <v>600</v>
      </c>
      <c r="D159" s="29">
        <f>5700000-2292500</f>
        <v>3407500</v>
      </c>
      <c r="E159" s="29">
        <v>5700000</v>
      </c>
      <c r="F159" s="29">
        <v>5700000</v>
      </c>
    </row>
    <row r="160" spans="1:6" s="46" customFormat="1" ht="47.25" customHeight="1">
      <c r="A160" s="63" t="s">
        <v>366</v>
      </c>
      <c r="B160" s="100">
        <v>2200000000</v>
      </c>
      <c r="C160" s="105"/>
      <c r="D160" s="102">
        <f>D161</f>
        <v>1500000</v>
      </c>
      <c r="E160" s="102">
        <f>E161</f>
        <v>1500000</v>
      </c>
      <c r="F160" s="102">
        <f>F161</f>
        <v>1500000</v>
      </c>
    </row>
    <row r="161" spans="1:6" s="46" customFormat="1" ht="78.75" customHeight="1">
      <c r="A161" s="87" t="s">
        <v>367</v>
      </c>
      <c r="B161" s="103">
        <v>2220000000</v>
      </c>
      <c r="C161" s="94"/>
      <c r="D161" s="89">
        <f>D162</f>
        <v>1500000</v>
      </c>
      <c r="E161" s="89">
        <f>E162</f>
        <v>1500000</v>
      </c>
      <c r="F161" s="89">
        <f>F162</f>
        <v>1500000</v>
      </c>
    </row>
    <row r="162" spans="1:6" s="46" customFormat="1" ht="30.75" customHeight="1">
      <c r="A162" s="71" t="s">
        <v>265</v>
      </c>
      <c r="B162" s="93">
        <v>2220000000</v>
      </c>
      <c r="C162" s="93">
        <v>200</v>
      </c>
      <c r="D162" s="29">
        <v>1500000</v>
      </c>
      <c r="E162" s="29">
        <v>1500000</v>
      </c>
      <c r="F162" s="29">
        <v>1500000</v>
      </c>
    </row>
    <row r="163" spans="1:256" s="46" customFormat="1" ht="31.5" customHeight="1">
      <c r="A163" s="63" t="s">
        <v>368</v>
      </c>
      <c r="B163" s="100">
        <v>2900000000</v>
      </c>
      <c r="C163" s="106"/>
      <c r="D163" s="102">
        <f>D164+D166+D168</f>
        <v>2002606.4</v>
      </c>
      <c r="E163" s="102">
        <f>E164+E166+E168</f>
        <v>5956631</v>
      </c>
      <c r="F163" s="102">
        <f>F164+F166+F168</f>
        <v>6280536</v>
      </c>
      <c r="G163" s="107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/>
      <c r="DD163" s="108"/>
      <c r="DE163" s="108"/>
      <c r="DF163" s="108"/>
      <c r="DG163" s="108"/>
      <c r="DH163" s="108"/>
      <c r="DI163" s="108"/>
      <c r="DJ163" s="108"/>
      <c r="DK163" s="108"/>
      <c r="DL163" s="108"/>
      <c r="DM163" s="108"/>
      <c r="DN163" s="108"/>
      <c r="DO163" s="108"/>
      <c r="DP163" s="108"/>
      <c r="DQ163" s="108"/>
      <c r="DR163" s="108"/>
      <c r="DS163" s="108"/>
      <c r="DT163" s="108"/>
      <c r="DU163" s="108"/>
      <c r="DV163" s="108"/>
      <c r="DW163" s="108"/>
      <c r="DX163" s="108"/>
      <c r="DY163" s="108"/>
      <c r="DZ163" s="108"/>
      <c r="EA163" s="108"/>
      <c r="EB163" s="108"/>
      <c r="EC163" s="108"/>
      <c r="ED163" s="108"/>
      <c r="EE163" s="108"/>
      <c r="EF163" s="108"/>
      <c r="EG163" s="108"/>
      <c r="EH163" s="108"/>
      <c r="EI163" s="108"/>
      <c r="EJ163" s="108"/>
      <c r="EK163" s="108"/>
      <c r="EL163" s="108"/>
      <c r="EM163" s="108"/>
      <c r="EN163" s="108"/>
      <c r="EO163" s="108"/>
      <c r="EP163" s="108"/>
      <c r="EQ163" s="108"/>
      <c r="ER163" s="108"/>
      <c r="ES163" s="108"/>
      <c r="ET163" s="108"/>
      <c r="EU163" s="108"/>
      <c r="EV163" s="108"/>
      <c r="EW163" s="108"/>
      <c r="EX163" s="108"/>
      <c r="EY163" s="108"/>
      <c r="EZ163" s="108"/>
      <c r="FA163" s="108"/>
      <c r="FB163" s="108"/>
      <c r="FC163" s="108"/>
      <c r="FD163" s="108"/>
      <c r="FE163" s="108"/>
      <c r="FF163" s="108"/>
      <c r="FG163" s="108"/>
      <c r="FH163" s="108"/>
      <c r="FI163" s="108"/>
      <c r="FJ163" s="108"/>
      <c r="FK163" s="108"/>
      <c r="FL163" s="108"/>
      <c r="FM163" s="108"/>
      <c r="FN163" s="108"/>
      <c r="FO163" s="108"/>
      <c r="FP163" s="108"/>
      <c r="FQ163" s="108"/>
      <c r="FR163" s="108"/>
      <c r="FS163" s="108"/>
      <c r="FT163" s="108"/>
      <c r="FU163" s="108"/>
      <c r="FV163" s="108"/>
      <c r="FW163" s="108"/>
      <c r="FX163" s="108"/>
      <c r="FY163" s="108"/>
      <c r="FZ163" s="108"/>
      <c r="GA163" s="108"/>
      <c r="GB163" s="108"/>
      <c r="GC163" s="108"/>
      <c r="GD163" s="108"/>
      <c r="GE163" s="108"/>
      <c r="GF163" s="108"/>
      <c r="GG163" s="108"/>
      <c r="GH163" s="108"/>
      <c r="GI163" s="108"/>
      <c r="GJ163" s="108"/>
      <c r="GK163" s="108"/>
      <c r="GR163" s="108"/>
      <c r="GS163" s="108"/>
      <c r="GT163" s="108"/>
      <c r="GU163" s="108"/>
      <c r="GV163" s="108"/>
      <c r="GW163" s="108"/>
      <c r="GX163" s="108"/>
      <c r="GY163" s="108"/>
      <c r="GZ163" s="108"/>
      <c r="HA163" s="108"/>
      <c r="HB163" s="108"/>
      <c r="HC163" s="108"/>
      <c r="HD163" s="108"/>
      <c r="HE163" s="108"/>
      <c r="HF163" s="108"/>
      <c r="HG163" s="108"/>
      <c r="HH163" s="108"/>
      <c r="HI163" s="108"/>
      <c r="HJ163" s="108"/>
      <c r="HK163" s="108"/>
      <c r="HL163" s="108"/>
      <c r="HM163" s="108"/>
      <c r="HN163" s="108"/>
      <c r="HO163" s="108"/>
      <c r="HP163" s="108"/>
      <c r="HQ163" s="108"/>
      <c r="HR163" s="108"/>
      <c r="HS163" s="108"/>
      <c r="HT163" s="108"/>
      <c r="HU163" s="108"/>
      <c r="HV163" s="108"/>
      <c r="HW163" s="108"/>
      <c r="HX163" s="108"/>
      <c r="HY163" s="108"/>
      <c r="HZ163" s="108"/>
      <c r="IA163" s="108"/>
      <c r="IB163" s="108"/>
      <c r="IC163" s="108"/>
      <c r="ID163" s="108"/>
      <c r="IE163" s="108"/>
      <c r="IF163" s="108"/>
      <c r="IG163" s="108"/>
      <c r="IH163" s="108"/>
      <c r="II163" s="108"/>
      <c r="IJ163" s="108"/>
      <c r="IK163" s="108"/>
      <c r="IL163" s="108"/>
      <c r="IM163" s="108"/>
      <c r="IN163" s="108"/>
      <c r="IO163" s="108"/>
      <c r="IP163" s="108"/>
      <c r="IQ163" s="108"/>
      <c r="IR163" s="108"/>
      <c r="IS163" s="108"/>
      <c r="IT163" s="108"/>
      <c r="IU163" s="108"/>
      <c r="IV163" s="108"/>
    </row>
    <row r="164" spans="1:256" s="46" customFormat="1" ht="31.5" customHeight="1">
      <c r="A164" s="87" t="s">
        <v>369</v>
      </c>
      <c r="B164" s="103">
        <v>2930000000</v>
      </c>
      <c r="C164" s="94"/>
      <c r="D164" s="89">
        <f>D165</f>
        <v>1683528</v>
      </c>
      <c r="E164" s="89">
        <f>E165</f>
        <v>3394476</v>
      </c>
      <c r="F164" s="89">
        <f>F165</f>
        <v>3391176</v>
      </c>
      <c r="G164" s="107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108"/>
      <c r="CU164" s="108"/>
      <c r="CV164" s="108"/>
      <c r="CW164" s="108"/>
      <c r="CX164" s="108"/>
      <c r="CY164" s="108"/>
      <c r="CZ164" s="108"/>
      <c r="DA164" s="108"/>
      <c r="DB164" s="108"/>
      <c r="DC164" s="108"/>
      <c r="DD164" s="108"/>
      <c r="DE164" s="108"/>
      <c r="DF164" s="108"/>
      <c r="DG164" s="108"/>
      <c r="DH164" s="108"/>
      <c r="DI164" s="108"/>
      <c r="DJ164" s="108"/>
      <c r="DK164" s="108"/>
      <c r="DL164" s="108"/>
      <c r="DM164" s="108"/>
      <c r="DN164" s="108"/>
      <c r="DO164" s="108"/>
      <c r="DP164" s="108"/>
      <c r="DQ164" s="108"/>
      <c r="DR164" s="108"/>
      <c r="DS164" s="108"/>
      <c r="DT164" s="108"/>
      <c r="DU164" s="108"/>
      <c r="DV164" s="108"/>
      <c r="DW164" s="108"/>
      <c r="DX164" s="108"/>
      <c r="DY164" s="108"/>
      <c r="DZ164" s="108"/>
      <c r="EA164" s="108"/>
      <c r="EB164" s="108"/>
      <c r="EC164" s="108"/>
      <c r="ED164" s="108"/>
      <c r="EE164" s="108"/>
      <c r="EF164" s="108"/>
      <c r="EG164" s="108"/>
      <c r="EH164" s="108"/>
      <c r="EI164" s="108"/>
      <c r="EJ164" s="108"/>
      <c r="EK164" s="108"/>
      <c r="EL164" s="108"/>
      <c r="EM164" s="108"/>
      <c r="EN164" s="108"/>
      <c r="EO164" s="108"/>
      <c r="EP164" s="108"/>
      <c r="EQ164" s="108"/>
      <c r="ER164" s="108"/>
      <c r="ES164" s="108"/>
      <c r="ET164" s="108"/>
      <c r="EU164" s="108"/>
      <c r="EV164" s="108"/>
      <c r="EW164" s="108"/>
      <c r="EX164" s="108"/>
      <c r="EY164" s="108"/>
      <c r="EZ164" s="108"/>
      <c r="FA164" s="108"/>
      <c r="FB164" s="108"/>
      <c r="FC164" s="108"/>
      <c r="FD164" s="108"/>
      <c r="FE164" s="108"/>
      <c r="FF164" s="108"/>
      <c r="FG164" s="108"/>
      <c r="FH164" s="108"/>
      <c r="FI164" s="108"/>
      <c r="FJ164" s="108"/>
      <c r="FK164" s="108"/>
      <c r="FL164" s="108"/>
      <c r="FM164" s="108"/>
      <c r="FN164" s="108"/>
      <c r="FO164" s="108"/>
      <c r="FP164" s="108"/>
      <c r="FQ164" s="108"/>
      <c r="FR164" s="108"/>
      <c r="FS164" s="108"/>
      <c r="FT164" s="108"/>
      <c r="FU164" s="108"/>
      <c r="FV164" s="108"/>
      <c r="FW164" s="108"/>
      <c r="FX164" s="108"/>
      <c r="FY164" s="108"/>
      <c r="FZ164" s="108"/>
      <c r="GA164" s="108"/>
      <c r="GB164" s="108"/>
      <c r="GC164" s="108"/>
      <c r="GD164" s="108"/>
      <c r="GE164" s="108"/>
      <c r="GF164" s="108"/>
      <c r="GG164" s="108"/>
      <c r="GH164" s="108"/>
      <c r="GI164" s="108"/>
      <c r="GJ164" s="108"/>
      <c r="GK164" s="108"/>
      <c r="GR164" s="108"/>
      <c r="GS164" s="108"/>
      <c r="GT164" s="108"/>
      <c r="GU164" s="108"/>
      <c r="GV164" s="108"/>
      <c r="GW164" s="108"/>
      <c r="GX164" s="108"/>
      <c r="GY164" s="108"/>
      <c r="GZ164" s="108"/>
      <c r="HA164" s="108"/>
      <c r="HB164" s="108"/>
      <c r="HC164" s="108"/>
      <c r="HD164" s="108"/>
      <c r="HE164" s="108"/>
      <c r="HF164" s="108"/>
      <c r="HG164" s="108"/>
      <c r="HH164" s="108"/>
      <c r="HI164" s="108"/>
      <c r="HJ164" s="108"/>
      <c r="HK164" s="108"/>
      <c r="HL164" s="108"/>
      <c r="HM164" s="108"/>
      <c r="HN164" s="108"/>
      <c r="HO164" s="108"/>
      <c r="HP164" s="108"/>
      <c r="HQ164" s="108"/>
      <c r="HR164" s="108"/>
      <c r="HS164" s="108"/>
      <c r="HT164" s="108"/>
      <c r="HU164" s="108"/>
      <c r="HV164" s="108"/>
      <c r="HW164" s="108"/>
      <c r="HX164" s="108"/>
      <c r="HY164" s="108"/>
      <c r="HZ164" s="108"/>
      <c r="IA164" s="108"/>
      <c r="IB164" s="108"/>
      <c r="IC164" s="108"/>
      <c r="ID164" s="108"/>
      <c r="IE164" s="108"/>
      <c r="IF164" s="108"/>
      <c r="IG164" s="108"/>
      <c r="IH164" s="108"/>
      <c r="II164" s="108"/>
      <c r="IJ164" s="108"/>
      <c r="IK164" s="108"/>
      <c r="IL164" s="108"/>
      <c r="IM164" s="108"/>
      <c r="IN164" s="108"/>
      <c r="IO164" s="108"/>
      <c r="IP164" s="108"/>
      <c r="IQ164" s="108"/>
      <c r="IR164" s="108"/>
      <c r="IS164" s="108"/>
      <c r="IT164" s="108"/>
      <c r="IU164" s="108"/>
      <c r="IV164" s="108"/>
    </row>
    <row r="165" spans="1:256" s="46" customFormat="1" ht="30.75" customHeight="1">
      <c r="A165" s="71" t="s">
        <v>265</v>
      </c>
      <c r="B165" s="93">
        <v>2930000000</v>
      </c>
      <c r="C165" s="93">
        <v>200</v>
      </c>
      <c r="D165" s="29">
        <f>9337528-6158352-1495648</f>
        <v>1683528</v>
      </c>
      <c r="E165" s="29">
        <f>315300+3079176</f>
        <v>3394476</v>
      </c>
      <c r="F165" s="29">
        <f>312000+3079176</f>
        <v>3391176</v>
      </c>
      <c r="G165" s="107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8"/>
      <c r="DT165" s="108"/>
      <c r="DU165" s="108"/>
      <c r="DV165" s="108"/>
      <c r="DW165" s="108"/>
      <c r="DX165" s="108"/>
      <c r="DY165" s="108"/>
      <c r="DZ165" s="108"/>
      <c r="EA165" s="108"/>
      <c r="EB165" s="108"/>
      <c r="EC165" s="108"/>
      <c r="ED165" s="108"/>
      <c r="EE165" s="108"/>
      <c r="EF165" s="108"/>
      <c r="EG165" s="108"/>
      <c r="EH165" s="108"/>
      <c r="EI165" s="108"/>
      <c r="EJ165" s="108"/>
      <c r="EK165" s="108"/>
      <c r="EL165" s="108"/>
      <c r="EM165" s="108"/>
      <c r="EN165" s="108"/>
      <c r="EO165" s="108"/>
      <c r="EP165" s="108"/>
      <c r="EQ165" s="108"/>
      <c r="ER165" s="108"/>
      <c r="ES165" s="108"/>
      <c r="ET165" s="108"/>
      <c r="EU165" s="108"/>
      <c r="EV165" s="108"/>
      <c r="EW165" s="108"/>
      <c r="EX165" s="108"/>
      <c r="EY165" s="108"/>
      <c r="EZ165" s="108"/>
      <c r="FA165" s="108"/>
      <c r="FB165" s="108"/>
      <c r="FC165" s="108"/>
      <c r="FD165" s="108"/>
      <c r="FE165" s="108"/>
      <c r="FF165" s="108"/>
      <c r="FG165" s="108"/>
      <c r="FH165" s="108"/>
      <c r="FI165" s="108"/>
      <c r="FJ165" s="108"/>
      <c r="FK165" s="108"/>
      <c r="FL165" s="108"/>
      <c r="FM165" s="108"/>
      <c r="FN165" s="108"/>
      <c r="FO165" s="108"/>
      <c r="FP165" s="108"/>
      <c r="FQ165" s="108"/>
      <c r="FR165" s="108"/>
      <c r="FS165" s="108"/>
      <c r="FT165" s="108"/>
      <c r="FU165" s="108"/>
      <c r="FV165" s="108"/>
      <c r="FW165" s="108"/>
      <c r="FX165" s="108"/>
      <c r="FY165" s="108"/>
      <c r="FZ165" s="108"/>
      <c r="GA165" s="108"/>
      <c r="GB165" s="108"/>
      <c r="GC165" s="108"/>
      <c r="GD165" s="108"/>
      <c r="GE165" s="108"/>
      <c r="GF165" s="108"/>
      <c r="GG165" s="108"/>
      <c r="GH165" s="108"/>
      <c r="GI165" s="108"/>
      <c r="GJ165" s="108"/>
      <c r="GK165" s="108"/>
      <c r="GR165" s="108"/>
      <c r="GS165" s="108"/>
      <c r="GT165" s="108"/>
      <c r="GU165" s="108"/>
      <c r="GV165" s="108"/>
      <c r="GW165" s="108"/>
      <c r="GX165" s="108"/>
      <c r="GY165" s="108"/>
      <c r="GZ165" s="108"/>
      <c r="HA165" s="108"/>
      <c r="HB165" s="108"/>
      <c r="HC165" s="108"/>
      <c r="HD165" s="108"/>
      <c r="HE165" s="108"/>
      <c r="HF165" s="108"/>
      <c r="HG165" s="108"/>
      <c r="HH165" s="108"/>
      <c r="HI165" s="108"/>
      <c r="HJ165" s="108"/>
      <c r="HK165" s="108"/>
      <c r="HL165" s="108"/>
      <c r="HM165" s="108"/>
      <c r="HN165" s="108"/>
      <c r="HO165" s="108"/>
      <c r="HP165" s="108"/>
      <c r="HQ165" s="108"/>
      <c r="HR165" s="108"/>
      <c r="HS165" s="108"/>
      <c r="HT165" s="108"/>
      <c r="HU165" s="108"/>
      <c r="HV165" s="108"/>
      <c r="HW165" s="108"/>
      <c r="HX165" s="108"/>
      <c r="HY165" s="108"/>
      <c r="HZ165" s="108"/>
      <c r="IA165" s="108"/>
      <c r="IB165" s="108"/>
      <c r="IC165" s="108"/>
      <c r="ID165" s="108"/>
      <c r="IE165" s="108"/>
      <c r="IF165" s="108"/>
      <c r="IG165" s="108"/>
      <c r="IH165" s="108"/>
      <c r="II165" s="108"/>
      <c r="IJ165" s="108"/>
      <c r="IK165" s="108"/>
      <c r="IL165" s="108"/>
      <c r="IM165" s="108"/>
      <c r="IN165" s="108"/>
      <c r="IO165" s="108"/>
      <c r="IP165" s="108"/>
      <c r="IQ165" s="108"/>
      <c r="IR165" s="108"/>
      <c r="IS165" s="108"/>
      <c r="IT165" s="108"/>
      <c r="IU165" s="108"/>
      <c r="IV165" s="108"/>
    </row>
    <row r="166" spans="1:256" s="46" customFormat="1" ht="31.5" customHeight="1">
      <c r="A166" s="87" t="s">
        <v>370</v>
      </c>
      <c r="B166" s="103">
        <v>2940000000</v>
      </c>
      <c r="C166" s="94"/>
      <c r="D166" s="89">
        <f>D167</f>
        <v>0</v>
      </c>
      <c r="E166" s="89">
        <f>E167</f>
        <v>2294150</v>
      </c>
      <c r="F166" s="89">
        <f>F167</f>
        <v>2292400</v>
      </c>
      <c r="G166" s="107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  <c r="DB166" s="108"/>
      <c r="DC166" s="108"/>
      <c r="DD166" s="108"/>
      <c r="DE166" s="108"/>
      <c r="DF166" s="108"/>
      <c r="DG166" s="108"/>
      <c r="DH166" s="108"/>
      <c r="DI166" s="108"/>
      <c r="DJ166" s="108"/>
      <c r="DK166" s="108"/>
      <c r="DL166" s="108"/>
      <c r="DM166" s="108"/>
      <c r="DN166" s="108"/>
      <c r="DO166" s="108"/>
      <c r="DP166" s="108"/>
      <c r="DQ166" s="108"/>
      <c r="DR166" s="108"/>
      <c r="DS166" s="108"/>
      <c r="DT166" s="108"/>
      <c r="DU166" s="108"/>
      <c r="DV166" s="108"/>
      <c r="DW166" s="108"/>
      <c r="DX166" s="108"/>
      <c r="DY166" s="108"/>
      <c r="DZ166" s="108"/>
      <c r="EA166" s="108"/>
      <c r="EB166" s="108"/>
      <c r="EC166" s="108"/>
      <c r="ED166" s="108"/>
      <c r="EE166" s="108"/>
      <c r="EF166" s="108"/>
      <c r="EG166" s="108"/>
      <c r="EH166" s="108"/>
      <c r="EI166" s="108"/>
      <c r="EJ166" s="108"/>
      <c r="EK166" s="108"/>
      <c r="EL166" s="108"/>
      <c r="EM166" s="108"/>
      <c r="EN166" s="108"/>
      <c r="EO166" s="108"/>
      <c r="EP166" s="108"/>
      <c r="EQ166" s="108"/>
      <c r="ER166" s="108"/>
      <c r="ES166" s="108"/>
      <c r="ET166" s="108"/>
      <c r="EU166" s="108"/>
      <c r="EV166" s="108"/>
      <c r="EW166" s="108"/>
      <c r="EX166" s="108"/>
      <c r="EY166" s="108"/>
      <c r="EZ166" s="108"/>
      <c r="FA166" s="108"/>
      <c r="FB166" s="108"/>
      <c r="FC166" s="108"/>
      <c r="FD166" s="108"/>
      <c r="FE166" s="108"/>
      <c r="FF166" s="108"/>
      <c r="FG166" s="108"/>
      <c r="FH166" s="108"/>
      <c r="FI166" s="108"/>
      <c r="FJ166" s="108"/>
      <c r="FK166" s="108"/>
      <c r="FL166" s="108"/>
      <c r="FM166" s="108"/>
      <c r="FN166" s="108"/>
      <c r="FO166" s="108"/>
      <c r="FP166" s="108"/>
      <c r="FQ166" s="108"/>
      <c r="FR166" s="108"/>
      <c r="FS166" s="108"/>
      <c r="FT166" s="108"/>
      <c r="FU166" s="108"/>
      <c r="FV166" s="108"/>
      <c r="FW166" s="108"/>
      <c r="FX166" s="108"/>
      <c r="FY166" s="108"/>
      <c r="FZ166" s="108"/>
      <c r="GA166" s="108"/>
      <c r="GB166" s="108"/>
      <c r="GC166" s="108"/>
      <c r="GD166" s="108"/>
      <c r="GE166" s="108"/>
      <c r="GF166" s="108"/>
      <c r="GG166" s="108"/>
      <c r="GH166" s="108"/>
      <c r="GI166" s="108"/>
      <c r="GJ166" s="108"/>
      <c r="GK166" s="108"/>
      <c r="GR166" s="108"/>
      <c r="GS166" s="108"/>
      <c r="GT166" s="108"/>
      <c r="GU166" s="108"/>
      <c r="GV166" s="108"/>
      <c r="GW166" s="108"/>
      <c r="GX166" s="108"/>
      <c r="GY166" s="108"/>
      <c r="GZ166" s="108"/>
      <c r="HA166" s="108"/>
      <c r="HB166" s="108"/>
      <c r="HC166" s="108"/>
      <c r="HD166" s="108"/>
      <c r="HE166" s="108"/>
      <c r="HF166" s="108"/>
      <c r="HG166" s="108"/>
      <c r="HH166" s="108"/>
      <c r="HI166" s="108"/>
      <c r="HJ166" s="108"/>
      <c r="HK166" s="108"/>
      <c r="HL166" s="108"/>
      <c r="HM166" s="108"/>
      <c r="HN166" s="108"/>
      <c r="HO166" s="108"/>
      <c r="HP166" s="108"/>
      <c r="HQ166" s="108"/>
      <c r="HR166" s="108"/>
      <c r="HS166" s="108"/>
      <c r="HT166" s="108"/>
      <c r="HU166" s="108"/>
      <c r="HV166" s="108"/>
      <c r="HW166" s="108"/>
      <c r="HX166" s="108"/>
      <c r="HY166" s="108"/>
      <c r="HZ166" s="108"/>
      <c r="IA166" s="108"/>
      <c r="IB166" s="108"/>
      <c r="IC166" s="108"/>
      <c r="ID166" s="108"/>
      <c r="IE166" s="108"/>
      <c r="IF166" s="108"/>
      <c r="IG166" s="108"/>
      <c r="IH166" s="108"/>
      <c r="II166" s="108"/>
      <c r="IJ166" s="108"/>
      <c r="IK166" s="108"/>
      <c r="IL166" s="108"/>
      <c r="IM166" s="108"/>
      <c r="IN166" s="108"/>
      <c r="IO166" s="108"/>
      <c r="IP166" s="108"/>
      <c r="IQ166" s="108"/>
      <c r="IR166" s="108"/>
      <c r="IS166" s="108"/>
      <c r="IT166" s="108"/>
      <c r="IU166" s="108"/>
      <c r="IV166" s="108"/>
    </row>
    <row r="167" spans="1:256" s="46" customFormat="1" ht="30.75" customHeight="1">
      <c r="A167" s="71" t="s">
        <v>265</v>
      </c>
      <c r="B167" s="93">
        <v>2940000000</v>
      </c>
      <c r="C167" s="93">
        <v>200</v>
      </c>
      <c r="D167" s="29">
        <f>6350300-4066800+1116500-3400000</f>
        <v>0</v>
      </c>
      <c r="E167" s="29">
        <f>260750+2033400</f>
        <v>2294150</v>
      </c>
      <c r="F167" s="29">
        <f>259000+2033400</f>
        <v>2292400</v>
      </c>
      <c r="G167" s="109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0"/>
      <c r="BJ167" s="110"/>
      <c r="BK167" s="110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/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10"/>
      <c r="CS167" s="110"/>
      <c r="CT167" s="110"/>
      <c r="CU167" s="110"/>
      <c r="CV167" s="110"/>
      <c r="CW167" s="110"/>
      <c r="CX167" s="110"/>
      <c r="CY167" s="110"/>
      <c r="CZ167" s="110"/>
      <c r="DA167" s="110"/>
      <c r="DB167" s="110"/>
      <c r="DC167" s="110"/>
      <c r="DD167" s="110"/>
      <c r="DE167" s="110"/>
      <c r="DF167" s="110"/>
      <c r="DG167" s="110"/>
      <c r="DH167" s="110"/>
      <c r="DI167" s="110"/>
      <c r="DJ167" s="110"/>
      <c r="DK167" s="110"/>
      <c r="DL167" s="110"/>
      <c r="DM167" s="110"/>
      <c r="DN167" s="110"/>
      <c r="DO167" s="110"/>
      <c r="DP167" s="110"/>
      <c r="DQ167" s="110"/>
      <c r="DR167" s="110"/>
      <c r="DS167" s="110"/>
      <c r="DT167" s="110"/>
      <c r="DU167" s="110"/>
      <c r="DV167" s="110"/>
      <c r="DW167" s="110"/>
      <c r="DX167" s="110"/>
      <c r="DY167" s="110"/>
      <c r="DZ167" s="110"/>
      <c r="EA167" s="110"/>
      <c r="EB167" s="110"/>
      <c r="EC167" s="110"/>
      <c r="ED167" s="110"/>
      <c r="EE167" s="110"/>
      <c r="EF167" s="110"/>
      <c r="EG167" s="110"/>
      <c r="EH167" s="110"/>
      <c r="EI167" s="110"/>
      <c r="EJ167" s="110"/>
      <c r="EK167" s="110"/>
      <c r="EL167" s="110"/>
      <c r="EM167" s="110"/>
      <c r="EN167" s="110"/>
      <c r="EO167" s="110"/>
      <c r="EP167" s="110"/>
      <c r="EQ167" s="110"/>
      <c r="ER167" s="110"/>
      <c r="ES167" s="110"/>
      <c r="ET167" s="110"/>
      <c r="EU167" s="110"/>
      <c r="EV167" s="110"/>
      <c r="EW167" s="110"/>
      <c r="EX167" s="110"/>
      <c r="EY167" s="110"/>
      <c r="EZ167" s="110"/>
      <c r="FA167" s="110"/>
      <c r="FB167" s="110"/>
      <c r="FC167" s="110"/>
      <c r="FD167" s="110"/>
      <c r="FE167" s="110"/>
      <c r="FF167" s="110"/>
      <c r="FG167" s="110"/>
      <c r="FH167" s="110"/>
      <c r="FI167" s="110"/>
      <c r="FJ167" s="110"/>
      <c r="FK167" s="110"/>
      <c r="FL167" s="110"/>
      <c r="FM167" s="110"/>
      <c r="FN167" s="110"/>
      <c r="FO167" s="110"/>
      <c r="FP167" s="110"/>
      <c r="FQ167" s="110"/>
      <c r="FR167" s="110"/>
      <c r="FS167" s="110"/>
      <c r="FT167" s="110"/>
      <c r="FU167" s="110"/>
      <c r="FV167" s="110"/>
      <c r="FW167" s="110"/>
      <c r="FX167" s="110"/>
      <c r="FY167" s="110"/>
      <c r="FZ167" s="110"/>
      <c r="GA167" s="110"/>
      <c r="GB167" s="110"/>
      <c r="GC167" s="110"/>
      <c r="GD167" s="110"/>
      <c r="GE167" s="110"/>
      <c r="GF167" s="110"/>
      <c r="GG167" s="110"/>
      <c r="GH167" s="110"/>
      <c r="GI167" s="110"/>
      <c r="GJ167" s="110"/>
      <c r="GK167" s="110"/>
      <c r="GR167" s="110"/>
      <c r="GS167" s="110"/>
      <c r="GT167" s="110"/>
      <c r="GU167" s="110"/>
      <c r="GV167" s="110"/>
      <c r="GW167" s="110"/>
      <c r="GX167" s="110"/>
      <c r="GY167" s="110"/>
      <c r="GZ167" s="110"/>
      <c r="HA167" s="110"/>
      <c r="HB167" s="110"/>
      <c r="HC167" s="110"/>
      <c r="HD167" s="110"/>
      <c r="HE167" s="110"/>
      <c r="HF167" s="110"/>
      <c r="HG167" s="110"/>
      <c r="HH167" s="110"/>
      <c r="HI167" s="110"/>
      <c r="HJ167" s="110"/>
      <c r="HK167" s="110"/>
      <c r="HL167" s="110"/>
      <c r="HM167" s="110"/>
      <c r="HN167" s="110"/>
      <c r="HO167" s="110"/>
      <c r="HP167" s="110"/>
      <c r="HQ167" s="110"/>
      <c r="HR167" s="110"/>
      <c r="HS167" s="110"/>
      <c r="HT167" s="110"/>
      <c r="HU167" s="110"/>
      <c r="HV167" s="110"/>
      <c r="HW167" s="110"/>
      <c r="HX167" s="110"/>
      <c r="HY167" s="110"/>
      <c r="HZ167" s="110"/>
      <c r="IA167" s="110"/>
      <c r="IB167" s="110"/>
      <c r="IC167" s="110"/>
      <c r="ID167" s="110"/>
      <c r="IE167" s="110"/>
      <c r="IF167" s="110"/>
      <c r="IG167" s="110"/>
      <c r="IH167" s="110"/>
      <c r="II167" s="110"/>
      <c r="IJ167" s="110"/>
      <c r="IK167" s="110"/>
      <c r="IL167" s="110"/>
      <c r="IM167" s="110"/>
      <c r="IN167" s="110"/>
      <c r="IO167" s="110"/>
      <c r="IP167" s="110"/>
      <c r="IQ167" s="110"/>
      <c r="IR167" s="110"/>
      <c r="IS167" s="110"/>
      <c r="IT167" s="110"/>
      <c r="IU167" s="110"/>
      <c r="IV167" s="110"/>
    </row>
    <row r="168" spans="1:256" s="46" customFormat="1" ht="49.5" customHeight="1">
      <c r="A168" s="87" t="s">
        <v>371</v>
      </c>
      <c r="B168" s="103">
        <v>2970000000</v>
      </c>
      <c r="C168" s="94"/>
      <c r="D168" s="89">
        <f>D169</f>
        <v>319078.4</v>
      </c>
      <c r="E168" s="89">
        <f>E169</f>
        <v>268005</v>
      </c>
      <c r="F168" s="89">
        <f>F169</f>
        <v>596960</v>
      </c>
      <c r="G168" s="107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/>
      <c r="BV168" s="108"/>
      <c r="BW168" s="108"/>
      <c r="BX168" s="108"/>
      <c r="BY168" s="108"/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08"/>
      <c r="CM168" s="108"/>
      <c r="CN168" s="108"/>
      <c r="CO168" s="108"/>
      <c r="CP168" s="108"/>
      <c r="CQ168" s="108"/>
      <c r="CR168" s="108"/>
      <c r="CS168" s="108"/>
      <c r="CT168" s="108"/>
      <c r="CU168" s="108"/>
      <c r="CV168" s="108"/>
      <c r="CW168" s="108"/>
      <c r="CX168" s="108"/>
      <c r="CY168" s="108"/>
      <c r="CZ168" s="108"/>
      <c r="DA168" s="108"/>
      <c r="DB168" s="108"/>
      <c r="DC168" s="108"/>
      <c r="DD168" s="108"/>
      <c r="DE168" s="108"/>
      <c r="DF168" s="108"/>
      <c r="DG168" s="108"/>
      <c r="DH168" s="108"/>
      <c r="DI168" s="108"/>
      <c r="DJ168" s="108"/>
      <c r="DK168" s="108"/>
      <c r="DL168" s="108"/>
      <c r="DM168" s="108"/>
      <c r="DN168" s="108"/>
      <c r="DO168" s="108"/>
      <c r="DP168" s="108"/>
      <c r="DQ168" s="108"/>
      <c r="DR168" s="108"/>
      <c r="DS168" s="108"/>
      <c r="DT168" s="108"/>
      <c r="DU168" s="108"/>
      <c r="DV168" s="108"/>
      <c r="DW168" s="108"/>
      <c r="DX168" s="108"/>
      <c r="DY168" s="108"/>
      <c r="DZ168" s="108"/>
      <c r="EA168" s="108"/>
      <c r="EB168" s="108"/>
      <c r="EC168" s="108"/>
      <c r="ED168" s="108"/>
      <c r="EE168" s="108"/>
      <c r="EF168" s="108"/>
      <c r="EG168" s="108"/>
      <c r="EH168" s="108"/>
      <c r="EI168" s="108"/>
      <c r="EJ168" s="108"/>
      <c r="EK168" s="108"/>
      <c r="EL168" s="108"/>
      <c r="EM168" s="108"/>
      <c r="EN168" s="108"/>
      <c r="EO168" s="108"/>
      <c r="EP168" s="108"/>
      <c r="EQ168" s="108"/>
      <c r="ER168" s="108"/>
      <c r="ES168" s="108"/>
      <c r="ET168" s="108"/>
      <c r="EU168" s="108"/>
      <c r="EV168" s="108"/>
      <c r="EW168" s="108"/>
      <c r="EX168" s="108"/>
      <c r="EY168" s="108"/>
      <c r="EZ168" s="108"/>
      <c r="FA168" s="108"/>
      <c r="FB168" s="108"/>
      <c r="FC168" s="108"/>
      <c r="FD168" s="108"/>
      <c r="FE168" s="108"/>
      <c r="FF168" s="108"/>
      <c r="FG168" s="108"/>
      <c r="FH168" s="108"/>
      <c r="FI168" s="108"/>
      <c r="FJ168" s="108"/>
      <c r="FK168" s="108"/>
      <c r="FL168" s="108"/>
      <c r="FM168" s="108"/>
      <c r="FN168" s="108"/>
      <c r="FO168" s="108"/>
      <c r="FP168" s="108"/>
      <c r="FQ168" s="108"/>
      <c r="FR168" s="108"/>
      <c r="FS168" s="108"/>
      <c r="FT168" s="108"/>
      <c r="FU168" s="108"/>
      <c r="FV168" s="108"/>
      <c r="FW168" s="108"/>
      <c r="FX168" s="108"/>
      <c r="FY168" s="108"/>
      <c r="FZ168" s="108"/>
      <c r="GA168" s="108"/>
      <c r="GB168" s="108"/>
      <c r="GC168" s="108"/>
      <c r="GD168" s="108"/>
      <c r="GE168" s="108"/>
      <c r="GF168" s="108"/>
      <c r="GG168" s="108"/>
      <c r="GH168" s="108"/>
      <c r="GI168" s="108"/>
      <c r="GJ168" s="108"/>
      <c r="GK168" s="108"/>
      <c r="GR168" s="108"/>
      <c r="GS168" s="108"/>
      <c r="GT168" s="108"/>
      <c r="GU168" s="108"/>
      <c r="GV168" s="108"/>
      <c r="GW168" s="108"/>
      <c r="GX168" s="108"/>
      <c r="GY168" s="108"/>
      <c r="GZ168" s="108"/>
      <c r="HA168" s="108"/>
      <c r="HB168" s="108"/>
      <c r="HC168" s="108"/>
      <c r="HD168" s="108"/>
      <c r="HE168" s="108"/>
      <c r="HF168" s="108"/>
      <c r="HG168" s="108"/>
      <c r="HH168" s="108"/>
      <c r="HI168" s="108"/>
      <c r="HJ168" s="108"/>
      <c r="HK168" s="108"/>
      <c r="HL168" s="108"/>
      <c r="HM168" s="108"/>
      <c r="HN168" s="108"/>
      <c r="HO168" s="108"/>
      <c r="HP168" s="108"/>
      <c r="HQ168" s="108"/>
      <c r="HR168" s="108"/>
      <c r="HS168" s="108"/>
      <c r="HT168" s="108"/>
      <c r="HU168" s="108"/>
      <c r="HV168" s="108"/>
      <c r="HW168" s="108"/>
      <c r="HX168" s="108"/>
      <c r="HY168" s="108"/>
      <c r="HZ168" s="108"/>
      <c r="IA168" s="108"/>
      <c r="IB168" s="108"/>
      <c r="IC168" s="108"/>
      <c r="ID168" s="108"/>
      <c r="IE168" s="108"/>
      <c r="IF168" s="108"/>
      <c r="IG168" s="108"/>
      <c r="IH168" s="108"/>
      <c r="II168" s="108"/>
      <c r="IJ168" s="108"/>
      <c r="IK168" s="108"/>
      <c r="IL168" s="108"/>
      <c r="IM168" s="108"/>
      <c r="IN168" s="108"/>
      <c r="IO168" s="108"/>
      <c r="IP168" s="108"/>
      <c r="IQ168" s="108"/>
      <c r="IR168" s="108"/>
      <c r="IS168" s="108"/>
      <c r="IT168" s="108"/>
      <c r="IU168" s="108"/>
      <c r="IV168" s="108"/>
    </row>
    <row r="169" spans="1:256" s="46" customFormat="1" ht="30.75" customHeight="1">
      <c r="A169" s="71" t="s">
        <v>265</v>
      </c>
      <c r="B169" s="93">
        <v>2970000000</v>
      </c>
      <c r="C169" s="93">
        <v>200</v>
      </c>
      <c r="D169" s="29">
        <f>574000-154500-100421.6</f>
        <v>319078.4</v>
      </c>
      <c r="E169" s="29">
        <v>268005</v>
      </c>
      <c r="F169" s="29">
        <v>596960</v>
      </c>
      <c r="G169" s="109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/>
      <c r="BI169" s="110"/>
      <c r="BJ169" s="110"/>
      <c r="BK169" s="110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110"/>
      <c r="CV169" s="110"/>
      <c r="CW169" s="110"/>
      <c r="CX169" s="110"/>
      <c r="CY169" s="110"/>
      <c r="CZ169" s="110"/>
      <c r="DA169" s="110"/>
      <c r="DB169" s="110"/>
      <c r="DC169" s="110"/>
      <c r="DD169" s="110"/>
      <c r="DE169" s="110"/>
      <c r="DF169" s="110"/>
      <c r="DG169" s="110"/>
      <c r="DH169" s="110"/>
      <c r="DI169" s="110"/>
      <c r="DJ169" s="110"/>
      <c r="DK169" s="110"/>
      <c r="DL169" s="110"/>
      <c r="DM169" s="110"/>
      <c r="DN169" s="110"/>
      <c r="DO169" s="110"/>
      <c r="DP169" s="110"/>
      <c r="DQ169" s="110"/>
      <c r="DR169" s="110"/>
      <c r="DS169" s="110"/>
      <c r="DT169" s="110"/>
      <c r="DU169" s="110"/>
      <c r="DV169" s="110"/>
      <c r="DW169" s="110"/>
      <c r="DX169" s="110"/>
      <c r="DY169" s="110"/>
      <c r="DZ169" s="110"/>
      <c r="EA169" s="110"/>
      <c r="EB169" s="110"/>
      <c r="EC169" s="110"/>
      <c r="ED169" s="110"/>
      <c r="EE169" s="110"/>
      <c r="EF169" s="110"/>
      <c r="EG169" s="110"/>
      <c r="EH169" s="110"/>
      <c r="EI169" s="110"/>
      <c r="EJ169" s="110"/>
      <c r="EK169" s="110"/>
      <c r="EL169" s="110"/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  <c r="FD169" s="110"/>
      <c r="FE169" s="110"/>
      <c r="FF169" s="110"/>
      <c r="FG169" s="110"/>
      <c r="FH169" s="110"/>
      <c r="FI169" s="110"/>
      <c r="FJ169" s="110"/>
      <c r="FK169" s="110"/>
      <c r="FL169" s="110"/>
      <c r="FM169" s="110"/>
      <c r="FN169" s="110"/>
      <c r="FO169" s="110"/>
      <c r="FP169" s="110"/>
      <c r="FQ169" s="110"/>
      <c r="FR169" s="110"/>
      <c r="FS169" s="110"/>
      <c r="FT169" s="110"/>
      <c r="FU169" s="110"/>
      <c r="FV169" s="110"/>
      <c r="FW169" s="110"/>
      <c r="FX169" s="110"/>
      <c r="FY169" s="110"/>
      <c r="FZ169" s="110"/>
      <c r="GA169" s="110"/>
      <c r="GB169" s="110"/>
      <c r="GC169" s="110"/>
      <c r="GD169" s="110"/>
      <c r="GE169" s="110"/>
      <c r="GF169" s="110"/>
      <c r="GG169" s="110"/>
      <c r="GH169" s="110"/>
      <c r="GI169" s="110"/>
      <c r="GJ169" s="110"/>
      <c r="GK169" s="110"/>
      <c r="GR169" s="110"/>
      <c r="GS169" s="110"/>
      <c r="GT169" s="110"/>
      <c r="GU169" s="110"/>
      <c r="GV169" s="110"/>
      <c r="GW169" s="110"/>
      <c r="GX169" s="110"/>
      <c r="GY169" s="110"/>
      <c r="GZ169" s="110"/>
      <c r="HA169" s="110"/>
      <c r="HB169" s="110"/>
      <c r="HC169" s="110"/>
      <c r="HD169" s="110"/>
      <c r="HE169" s="110"/>
      <c r="HF169" s="110"/>
      <c r="HG169" s="110"/>
      <c r="HH169" s="110"/>
      <c r="HI169" s="110"/>
      <c r="HJ169" s="110"/>
      <c r="HK169" s="110"/>
      <c r="HL169" s="110"/>
      <c r="HM169" s="110"/>
      <c r="HN169" s="110"/>
      <c r="HO169" s="110"/>
      <c r="HP169" s="110"/>
      <c r="HQ169" s="110"/>
      <c r="HR169" s="110"/>
      <c r="HS169" s="110"/>
      <c r="HT169" s="110"/>
      <c r="HU169" s="110"/>
      <c r="HV169" s="110"/>
      <c r="HW169" s="110"/>
      <c r="HX169" s="110"/>
      <c r="HY169" s="110"/>
      <c r="HZ169" s="110"/>
      <c r="IA169" s="110"/>
      <c r="IB169" s="110"/>
      <c r="IC169" s="110"/>
      <c r="ID169" s="110"/>
      <c r="IE169" s="110"/>
      <c r="IF169" s="110"/>
      <c r="IG169" s="110"/>
      <c r="IH169" s="110"/>
      <c r="II169" s="110"/>
      <c r="IJ169" s="110"/>
      <c r="IK169" s="110"/>
      <c r="IL169" s="110"/>
      <c r="IM169" s="110"/>
      <c r="IN169" s="110"/>
      <c r="IO169" s="110"/>
      <c r="IP169" s="110"/>
      <c r="IQ169" s="110"/>
      <c r="IR169" s="110"/>
      <c r="IS169" s="110"/>
      <c r="IT169" s="110"/>
      <c r="IU169" s="110"/>
      <c r="IV169" s="110"/>
    </row>
    <row r="170" spans="1:256" s="46" customFormat="1" ht="15.75" customHeight="1">
      <c r="A170" s="63" t="s">
        <v>372</v>
      </c>
      <c r="B170" s="100">
        <v>1300000000</v>
      </c>
      <c r="C170" s="106"/>
      <c r="D170" s="102">
        <f>D171</f>
        <v>38277708.68</v>
      </c>
      <c r="E170" s="102">
        <f>E171</f>
        <v>28400000</v>
      </c>
      <c r="F170" s="102">
        <f>F171</f>
        <v>0</v>
      </c>
      <c r="G170" s="107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8"/>
      <c r="CK170" s="108"/>
      <c r="CL170" s="108"/>
      <c r="CM170" s="108"/>
      <c r="CN170" s="108"/>
      <c r="CO170" s="108"/>
      <c r="CP170" s="108"/>
      <c r="CQ170" s="108"/>
      <c r="CR170" s="108"/>
      <c r="CS170" s="108"/>
      <c r="CT170" s="108"/>
      <c r="CU170" s="108"/>
      <c r="CV170" s="108"/>
      <c r="CW170" s="108"/>
      <c r="CX170" s="108"/>
      <c r="CY170" s="108"/>
      <c r="CZ170" s="108"/>
      <c r="DA170" s="108"/>
      <c r="DB170" s="108"/>
      <c r="DC170" s="108"/>
      <c r="DD170" s="108"/>
      <c r="DE170" s="108"/>
      <c r="DF170" s="108"/>
      <c r="DG170" s="108"/>
      <c r="DH170" s="108"/>
      <c r="DI170" s="108"/>
      <c r="DJ170" s="108"/>
      <c r="DK170" s="108"/>
      <c r="DL170" s="108"/>
      <c r="DM170" s="108"/>
      <c r="DN170" s="108"/>
      <c r="DO170" s="108"/>
      <c r="DP170" s="108"/>
      <c r="DQ170" s="108"/>
      <c r="DR170" s="108"/>
      <c r="DS170" s="108"/>
      <c r="DT170" s="108"/>
      <c r="DU170" s="108"/>
      <c r="DV170" s="108"/>
      <c r="DW170" s="108"/>
      <c r="DX170" s="108"/>
      <c r="DY170" s="108"/>
      <c r="DZ170" s="108"/>
      <c r="EA170" s="108"/>
      <c r="EB170" s="108"/>
      <c r="EC170" s="108"/>
      <c r="ED170" s="108"/>
      <c r="EE170" s="108"/>
      <c r="EF170" s="108"/>
      <c r="EG170" s="108"/>
      <c r="EH170" s="108"/>
      <c r="EI170" s="108"/>
      <c r="EJ170" s="108"/>
      <c r="EK170" s="108"/>
      <c r="EL170" s="108"/>
      <c r="EM170" s="108"/>
      <c r="EN170" s="108"/>
      <c r="EO170" s="108"/>
      <c r="EP170" s="108"/>
      <c r="EQ170" s="108"/>
      <c r="ER170" s="108"/>
      <c r="ES170" s="108"/>
      <c r="ET170" s="108"/>
      <c r="EU170" s="108"/>
      <c r="EV170" s="108"/>
      <c r="EW170" s="108"/>
      <c r="EX170" s="108"/>
      <c r="EY170" s="108"/>
      <c r="EZ170" s="108"/>
      <c r="FA170" s="108"/>
      <c r="FB170" s="108"/>
      <c r="FC170" s="108"/>
      <c r="FD170" s="108"/>
      <c r="FE170" s="108"/>
      <c r="FF170" s="108"/>
      <c r="FG170" s="108"/>
      <c r="FH170" s="108"/>
      <c r="FI170" s="108"/>
      <c r="FJ170" s="108"/>
      <c r="FK170" s="108"/>
      <c r="FL170" s="108"/>
      <c r="FM170" s="108"/>
      <c r="FN170" s="108"/>
      <c r="FO170" s="108"/>
      <c r="FP170" s="108"/>
      <c r="FQ170" s="108"/>
      <c r="FR170" s="108"/>
      <c r="FS170" s="108"/>
      <c r="FT170" s="108"/>
      <c r="FU170" s="108"/>
      <c r="FV170" s="108"/>
      <c r="FW170" s="108"/>
      <c r="FX170" s="108"/>
      <c r="FY170" s="108"/>
      <c r="FZ170" s="108"/>
      <c r="GA170" s="108"/>
      <c r="GB170" s="108"/>
      <c r="GC170" s="108"/>
      <c r="GD170" s="108"/>
      <c r="GE170" s="108"/>
      <c r="GF170" s="108"/>
      <c r="GG170" s="108"/>
      <c r="GH170" s="108"/>
      <c r="GI170" s="108"/>
      <c r="GJ170" s="108"/>
      <c r="GK170" s="108"/>
      <c r="GR170" s="108"/>
      <c r="GS170" s="108"/>
      <c r="GT170" s="108"/>
      <c r="GU170" s="108"/>
      <c r="GV170" s="108"/>
      <c r="GW170" s="108"/>
      <c r="GX170" s="108"/>
      <c r="GY170" s="108"/>
      <c r="GZ170" s="108"/>
      <c r="HA170" s="108"/>
      <c r="HB170" s="108"/>
      <c r="HC170" s="108"/>
      <c r="HD170" s="108"/>
      <c r="HE170" s="108"/>
      <c r="HF170" s="108"/>
      <c r="HG170" s="108"/>
      <c r="HH170" s="108"/>
      <c r="HI170" s="108"/>
      <c r="HJ170" s="108"/>
      <c r="HK170" s="108"/>
      <c r="HL170" s="108"/>
      <c r="HM170" s="108"/>
      <c r="HN170" s="108"/>
      <c r="HO170" s="108"/>
      <c r="HP170" s="108"/>
      <c r="HQ170" s="108"/>
      <c r="HR170" s="108"/>
      <c r="HS170" s="108"/>
      <c r="HT170" s="108"/>
      <c r="HU170" s="108"/>
      <c r="HV170" s="108"/>
      <c r="HW170" s="108"/>
      <c r="HX170" s="108"/>
      <c r="HY170" s="108"/>
      <c r="HZ170" s="108"/>
      <c r="IA170" s="108"/>
      <c r="IB170" s="108"/>
      <c r="IC170" s="108"/>
      <c r="ID170" s="108"/>
      <c r="IE170" s="108"/>
      <c r="IF170" s="108"/>
      <c r="IG170" s="108"/>
      <c r="IH170" s="108"/>
      <c r="II170" s="108"/>
      <c r="IJ170" s="108"/>
      <c r="IK170" s="108"/>
      <c r="IL170" s="108"/>
      <c r="IM170" s="108"/>
      <c r="IN170" s="108"/>
      <c r="IO170" s="108"/>
      <c r="IP170" s="108"/>
      <c r="IQ170" s="108"/>
      <c r="IR170" s="108"/>
      <c r="IS170" s="108"/>
      <c r="IT170" s="108"/>
      <c r="IU170" s="108"/>
      <c r="IV170" s="108"/>
    </row>
    <row r="171" spans="1:256" s="46" customFormat="1" ht="47.25" customHeight="1">
      <c r="A171" s="87" t="s">
        <v>373</v>
      </c>
      <c r="B171" s="103">
        <v>1320000000</v>
      </c>
      <c r="C171" s="94"/>
      <c r="D171" s="89">
        <f>D172</f>
        <v>38277708.68</v>
      </c>
      <c r="E171" s="89">
        <f>E172</f>
        <v>28400000</v>
      </c>
      <c r="F171" s="89">
        <f>F172</f>
        <v>0</v>
      </c>
      <c r="G171" s="107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8"/>
      <c r="DF171" s="108"/>
      <c r="DG171" s="108"/>
      <c r="DH171" s="108"/>
      <c r="DI171" s="108"/>
      <c r="DJ171" s="108"/>
      <c r="DK171" s="108"/>
      <c r="DL171" s="108"/>
      <c r="DM171" s="108"/>
      <c r="DN171" s="108"/>
      <c r="DO171" s="108"/>
      <c r="DP171" s="108"/>
      <c r="DQ171" s="108"/>
      <c r="DR171" s="108"/>
      <c r="DS171" s="108"/>
      <c r="DT171" s="108"/>
      <c r="DU171" s="108"/>
      <c r="DV171" s="108"/>
      <c r="DW171" s="108"/>
      <c r="DX171" s="108"/>
      <c r="DY171" s="108"/>
      <c r="DZ171" s="108"/>
      <c r="EA171" s="108"/>
      <c r="EB171" s="108"/>
      <c r="EC171" s="108"/>
      <c r="ED171" s="108"/>
      <c r="EE171" s="108"/>
      <c r="EF171" s="108"/>
      <c r="EG171" s="108"/>
      <c r="EH171" s="108"/>
      <c r="EI171" s="108"/>
      <c r="EJ171" s="108"/>
      <c r="EK171" s="108"/>
      <c r="EL171" s="108"/>
      <c r="EM171" s="108"/>
      <c r="EN171" s="108"/>
      <c r="EO171" s="108"/>
      <c r="EP171" s="108"/>
      <c r="EQ171" s="108"/>
      <c r="ER171" s="108"/>
      <c r="ES171" s="108"/>
      <c r="ET171" s="108"/>
      <c r="EU171" s="108"/>
      <c r="EV171" s="108"/>
      <c r="EW171" s="108"/>
      <c r="EX171" s="108"/>
      <c r="EY171" s="108"/>
      <c r="EZ171" s="108"/>
      <c r="FA171" s="108"/>
      <c r="FB171" s="108"/>
      <c r="FC171" s="108"/>
      <c r="FD171" s="108"/>
      <c r="FE171" s="108"/>
      <c r="FF171" s="108"/>
      <c r="FG171" s="108"/>
      <c r="FH171" s="108"/>
      <c r="FI171" s="108"/>
      <c r="FJ171" s="108"/>
      <c r="FK171" s="108"/>
      <c r="FL171" s="108"/>
      <c r="FM171" s="108"/>
      <c r="FN171" s="108"/>
      <c r="FO171" s="108"/>
      <c r="FP171" s="108"/>
      <c r="FQ171" s="108"/>
      <c r="FR171" s="108"/>
      <c r="FS171" s="108"/>
      <c r="FT171" s="108"/>
      <c r="FU171" s="108"/>
      <c r="FV171" s="108"/>
      <c r="FW171" s="108"/>
      <c r="FX171" s="108"/>
      <c r="FY171" s="108"/>
      <c r="FZ171" s="108"/>
      <c r="GA171" s="108"/>
      <c r="GB171" s="108"/>
      <c r="GC171" s="108"/>
      <c r="GD171" s="108"/>
      <c r="GE171" s="108"/>
      <c r="GF171" s="108"/>
      <c r="GG171" s="108"/>
      <c r="GH171" s="108"/>
      <c r="GI171" s="108"/>
      <c r="GJ171" s="108"/>
      <c r="GK171" s="108"/>
      <c r="GR171" s="108"/>
      <c r="GS171" s="108"/>
      <c r="GT171" s="108"/>
      <c r="GU171" s="108"/>
      <c r="GV171" s="108"/>
      <c r="GW171" s="108"/>
      <c r="GX171" s="108"/>
      <c r="GY171" s="108"/>
      <c r="GZ171" s="108"/>
      <c r="HA171" s="108"/>
      <c r="HB171" s="108"/>
      <c r="HC171" s="108"/>
      <c r="HD171" s="108"/>
      <c r="HE171" s="108"/>
      <c r="HF171" s="108"/>
      <c r="HG171" s="108"/>
      <c r="HH171" s="108"/>
      <c r="HI171" s="108"/>
      <c r="HJ171" s="108"/>
      <c r="HK171" s="108"/>
      <c r="HL171" s="108"/>
      <c r="HM171" s="108"/>
      <c r="HN171" s="108"/>
      <c r="HO171" s="108"/>
      <c r="HP171" s="108"/>
      <c r="HQ171" s="108"/>
      <c r="HR171" s="108"/>
      <c r="HS171" s="108"/>
      <c r="HT171" s="108"/>
      <c r="HU171" s="108"/>
      <c r="HV171" s="108"/>
      <c r="HW171" s="108"/>
      <c r="HX171" s="108"/>
      <c r="HY171" s="108"/>
      <c r="HZ171" s="108"/>
      <c r="IA171" s="108"/>
      <c r="IB171" s="108"/>
      <c r="IC171" s="108"/>
      <c r="ID171" s="108"/>
      <c r="IE171" s="108"/>
      <c r="IF171" s="108"/>
      <c r="IG171" s="108"/>
      <c r="IH171" s="108"/>
      <c r="II171" s="108"/>
      <c r="IJ171" s="108"/>
      <c r="IK171" s="108"/>
      <c r="IL171" s="108"/>
      <c r="IM171" s="108"/>
      <c r="IN171" s="108"/>
      <c r="IO171" s="108"/>
      <c r="IP171" s="108"/>
      <c r="IQ171" s="108"/>
      <c r="IR171" s="108"/>
      <c r="IS171" s="108"/>
      <c r="IT171" s="108"/>
      <c r="IU171" s="108"/>
      <c r="IV171" s="108"/>
    </row>
    <row r="172" spans="1:256" s="46" customFormat="1" ht="30.75" customHeight="1">
      <c r="A172" s="71" t="s">
        <v>265</v>
      </c>
      <c r="B172" s="93">
        <v>1320000000</v>
      </c>
      <c r="C172" s="93">
        <v>200</v>
      </c>
      <c r="D172" s="29">
        <f>28600000+9000000+677708.68</f>
        <v>38277708.68</v>
      </c>
      <c r="E172" s="29">
        <v>28400000</v>
      </c>
      <c r="F172" s="29">
        <v>0</v>
      </c>
      <c r="G172" s="109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0"/>
      <c r="DB172" s="110"/>
      <c r="DC172" s="110"/>
      <c r="DD172" s="110"/>
      <c r="DE172" s="110"/>
      <c r="DF172" s="110"/>
      <c r="DG172" s="110"/>
      <c r="DH172" s="110"/>
      <c r="DI172" s="110"/>
      <c r="DJ172" s="110"/>
      <c r="DK172" s="110"/>
      <c r="DL172" s="110"/>
      <c r="DM172" s="110"/>
      <c r="DN172" s="110"/>
      <c r="DO172" s="110"/>
      <c r="DP172" s="110"/>
      <c r="DQ172" s="110"/>
      <c r="DR172" s="110"/>
      <c r="DS172" s="110"/>
      <c r="DT172" s="110"/>
      <c r="DU172" s="110"/>
      <c r="DV172" s="110"/>
      <c r="DW172" s="110"/>
      <c r="DX172" s="110"/>
      <c r="DY172" s="110"/>
      <c r="DZ172" s="110"/>
      <c r="EA172" s="110"/>
      <c r="EB172" s="110"/>
      <c r="EC172" s="110"/>
      <c r="ED172" s="110"/>
      <c r="EE172" s="110"/>
      <c r="EF172" s="110"/>
      <c r="EG172" s="110"/>
      <c r="EH172" s="110"/>
      <c r="EI172" s="110"/>
      <c r="EJ172" s="110"/>
      <c r="EK172" s="110"/>
      <c r="EL172" s="110"/>
      <c r="EM172" s="110"/>
      <c r="EN172" s="110"/>
      <c r="EO172" s="110"/>
      <c r="EP172" s="110"/>
      <c r="EQ172" s="110"/>
      <c r="ER172" s="110"/>
      <c r="ES172" s="110"/>
      <c r="ET172" s="110"/>
      <c r="EU172" s="110"/>
      <c r="EV172" s="110"/>
      <c r="EW172" s="110"/>
      <c r="EX172" s="110"/>
      <c r="EY172" s="110"/>
      <c r="EZ172" s="110"/>
      <c r="FA172" s="110"/>
      <c r="FB172" s="110"/>
      <c r="FC172" s="110"/>
      <c r="FD172" s="110"/>
      <c r="FE172" s="110"/>
      <c r="FF172" s="110"/>
      <c r="FG172" s="110"/>
      <c r="FH172" s="110"/>
      <c r="FI172" s="110"/>
      <c r="FJ172" s="110"/>
      <c r="FK172" s="110"/>
      <c r="FL172" s="110"/>
      <c r="FM172" s="110"/>
      <c r="FN172" s="110"/>
      <c r="FO172" s="110"/>
      <c r="FP172" s="110"/>
      <c r="FQ172" s="110"/>
      <c r="FR172" s="110"/>
      <c r="FS172" s="110"/>
      <c r="FT172" s="110"/>
      <c r="FU172" s="110"/>
      <c r="FV172" s="110"/>
      <c r="FW172" s="110"/>
      <c r="FX172" s="110"/>
      <c r="FY172" s="110"/>
      <c r="FZ172" s="110"/>
      <c r="GA172" s="110"/>
      <c r="GB172" s="110"/>
      <c r="GC172" s="110"/>
      <c r="GD172" s="110"/>
      <c r="GE172" s="110"/>
      <c r="GF172" s="110"/>
      <c r="GG172" s="110"/>
      <c r="GH172" s="110"/>
      <c r="GI172" s="110"/>
      <c r="GJ172" s="110"/>
      <c r="GK172" s="110"/>
      <c r="GR172" s="110"/>
      <c r="GS172" s="110"/>
      <c r="GT172" s="110"/>
      <c r="GU172" s="110"/>
      <c r="GV172" s="110"/>
      <c r="GW172" s="110"/>
      <c r="GX172" s="110"/>
      <c r="GY172" s="110"/>
      <c r="GZ172" s="110"/>
      <c r="HA172" s="110"/>
      <c r="HB172" s="110"/>
      <c r="HC172" s="110"/>
      <c r="HD172" s="110"/>
      <c r="HE172" s="110"/>
      <c r="HF172" s="110"/>
      <c r="HG172" s="110"/>
      <c r="HH172" s="110"/>
      <c r="HI172" s="110"/>
      <c r="HJ172" s="110"/>
      <c r="HK172" s="110"/>
      <c r="HL172" s="110"/>
      <c r="HM172" s="110"/>
      <c r="HN172" s="110"/>
      <c r="HO172" s="110"/>
      <c r="HP172" s="110"/>
      <c r="HQ172" s="110"/>
      <c r="HR172" s="110"/>
      <c r="HS172" s="110"/>
      <c r="HT172" s="110"/>
      <c r="HU172" s="110"/>
      <c r="HV172" s="110"/>
      <c r="HW172" s="110"/>
      <c r="HX172" s="110"/>
      <c r="HY172" s="110"/>
      <c r="HZ172" s="110"/>
      <c r="IA172" s="110"/>
      <c r="IB172" s="110"/>
      <c r="IC172" s="110"/>
      <c r="ID172" s="110"/>
      <c r="IE172" s="110"/>
      <c r="IF172" s="110"/>
      <c r="IG172" s="110"/>
      <c r="IH172" s="110"/>
      <c r="II172" s="110"/>
      <c r="IJ172" s="110"/>
      <c r="IK172" s="110"/>
      <c r="IL172" s="110"/>
      <c r="IM172" s="110"/>
      <c r="IN172" s="110"/>
      <c r="IO172" s="110"/>
      <c r="IP172" s="110"/>
      <c r="IQ172" s="110"/>
      <c r="IR172" s="110"/>
      <c r="IS172" s="110"/>
      <c r="IT172" s="110"/>
      <c r="IU172" s="110"/>
      <c r="IV172" s="110"/>
    </row>
    <row r="173" spans="1:6" s="46" customFormat="1" ht="15.75" customHeight="1" hidden="1">
      <c r="A173" s="111"/>
      <c r="B173" s="112"/>
      <c r="C173" s="112"/>
      <c r="D173" s="113"/>
      <c r="E173" s="114"/>
      <c r="F173" s="114"/>
    </row>
    <row r="174" spans="1:6" s="46" customFormat="1" ht="15.75" customHeight="1" hidden="1">
      <c r="A174" s="71"/>
      <c r="B174" s="112"/>
      <c r="C174" s="112"/>
      <c r="D174" s="115"/>
      <c r="E174" s="116"/>
      <c r="F174" s="116"/>
    </row>
    <row r="175" spans="1:6" s="46" customFormat="1" ht="15.75" customHeight="1" hidden="1">
      <c r="A175" s="71"/>
      <c r="B175" s="112"/>
      <c r="C175" s="112"/>
      <c r="D175" s="117"/>
      <c r="E175" s="118"/>
      <c r="F175" s="118"/>
    </row>
    <row r="176" spans="1:6" s="46" customFormat="1" ht="31.5" customHeight="1">
      <c r="A176" s="119" t="s">
        <v>374</v>
      </c>
      <c r="B176" s="120">
        <v>3400000000</v>
      </c>
      <c r="C176" s="121"/>
      <c r="D176" s="122">
        <f>D177</f>
        <v>2509576.84</v>
      </c>
      <c r="E176" s="122">
        <f>E177</f>
        <v>83596390</v>
      </c>
      <c r="F176" s="122">
        <f>F177</f>
        <v>0</v>
      </c>
    </row>
    <row r="177" spans="1:6" s="46" customFormat="1" ht="31.5" customHeight="1">
      <c r="A177" s="119" t="s">
        <v>375</v>
      </c>
      <c r="B177" s="120">
        <v>3440000000</v>
      </c>
      <c r="C177" s="121"/>
      <c r="D177" s="122">
        <f>D178</f>
        <v>2509576.84</v>
      </c>
      <c r="E177" s="122">
        <f>E178</f>
        <v>83596390</v>
      </c>
      <c r="F177" s="122">
        <f>F178</f>
        <v>0</v>
      </c>
    </row>
    <row r="178" spans="1:6" s="46" customFormat="1" ht="30.75" customHeight="1">
      <c r="A178" s="71" t="s">
        <v>350</v>
      </c>
      <c r="B178" s="72">
        <v>3440000000</v>
      </c>
      <c r="C178" s="72">
        <v>400</v>
      </c>
      <c r="D178" s="29">
        <f>83596400-81086823.16</f>
        <v>2509576.84</v>
      </c>
      <c r="E178" s="29">
        <v>83596390</v>
      </c>
      <c r="F178" s="29">
        <v>0</v>
      </c>
    </row>
    <row r="179" spans="1:3" s="46" customFormat="1" ht="15.75" customHeight="1">
      <c r="A179" s="123"/>
      <c r="B179" s="124"/>
      <c r="C179" s="125"/>
    </row>
    <row r="180" spans="1:3" s="46" customFormat="1" ht="15.75" customHeight="1">
      <c r="A180" s="126"/>
      <c r="B180" s="6"/>
      <c r="C180" s="127"/>
    </row>
    <row r="181" spans="1:3" s="46" customFormat="1" ht="15.75" customHeight="1">
      <c r="A181" s="126"/>
      <c r="B181" s="6"/>
      <c r="C181" s="127"/>
    </row>
    <row r="182" spans="1:3" s="46" customFormat="1" ht="15.75" customHeight="1">
      <c r="A182" s="126"/>
      <c r="B182" s="6"/>
      <c r="C182" s="127"/>
    </row>
    <row r="183" spans="1:3" s="46" customFormat="1" ht="15.75" customHeight="1">
      <c r="A183" s="126"/>
      <c r="B183" s="6"/>
      <c r="C183" s="127"/>
    </row>
    <row r="184" spans="1:3" s="46" customFormat="1" ht="15.75" customHeight="1">
      <c r="A184" s="126"/>
      <c r="B184" s="6"/>
      <c r="C184" s="127"/>
    </row>
  </sheetData>
  <mergeCells count="1">
    <mergeCell ref="A11:F11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54"/>
  <headerFooter alignWithMargins="0"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56.421875" style="128" customWidth="1"/>
    <col min="2" max="2" width="5.8515625" style="128" customWidth="1"/>
    <col min="3" max="3" width="5.140625" style="128" customWidth="1"/>
    <col min="4" max="4" width="15.8515625" style="128" customWidth="1"/>
    <col min="5" max="5" width="8.421875" style="128" customWidth="1"/>
    <col min="6" max="6" width="23.421875" style="128" customWidth="1"/>
    <col min="7" max="7" width="18.421875" style="128" customWidth="1"/>
    <col min="8" max="8" width="21.8515625" style="128" customWidth="1"/>
    <col min="9" max="256" width="8.8515625" style="128" customWidth="1"/>
  </cols>
  <sheetData>
    <row r="1" spans="1:8" ht="16.5" customHeight="1">
      <c r="A1" s="2"/>
      <c r="B1" s="2"/>
      <c r="C1" s="2"/>
      <c r="D1" s="2"/>
      <c r="E1" s="2"/>
      <c r="F1" s="2"/>
      <c r="G1" s="40" t="s">
        <v>376</v>
      </c>
      <c r="H1" s="2"/>
    </row>
    <row r="2" spans="1:8" ht="16.5" customHeight="1">
      <c r="A2" s="2"/>
      <c r="B2" s="2"/>
      <c r="C2" s="2"/>
      <c r="D2" s="2"/>
      <c r="E2" s="2"/>
      <c r="F2" s="2"/>
      <c r="G2" s="40" t="s">
        <v>377</v>
      </c>
      <c r="H2" s="2"/>
    </row>
    <row r="3" spans="1:8" ht="16.5" customHeight="1">
      <c r="A3" s="2"/>
      <c r="B3" s="2"/>
      <c r="C3" s="2"/>
      <c r="D3" s="2"/>
      <c r="E3" s="2"/>
      <c r="F3" s="2"/>
      <c r="G3" s="40" t="s">
        <v>2</v>
      </c>
      <c r="H3" s="2"/>
    </row>
    <row r="4" spans="1:8" ht="16.5" customHeight="1">
      <c r="A4" s="2"/>
      <c r="B4" s="2"/>
      <c r="C4" s="2"/>
      <c r="D4" s="2"/>
      <c r="E4" s="2"/>
      <c r="F4" s="2"/>
      <c r="G4" s="40" t="s">
        <v>3</v>
      </c>
      <c r="H4" s="2"/>
    </row>
    <row r="5" spans="1:8" ht="16.5" customHeight="1">
      <c r="A5" s="2"/>
      <c r="B5" s="2"/>
      <c r="C5" s="2"/>
      <c r="D5" s="2"/>
      <c r="E5" s="2"/>
      <c r="F5" s="2"/>
      <c r="G5" s="40" t="s">
        <v>4</v>
      </c>
      <c r="H5" s="2"/>
    </row>
    <row r="6" spans="1:8" ht="16.5" customHeight="1">
      <c r="A6" s="2"/>
      <c r="B6" s="2"/>
      <c r="C6" s="2"/>
      <c r="D6" s="2"/>
      <c r="E6" s="2"/>
      <c r="F6" s="2"/>
      <c r="G6" s="40" t="s">
        <v>253</v>
      </c>
      <c r="H6" s="2"/>
    </row>
    <row r="7" spans="1:8" ht="16.5" customHeight="1">
      <c r="A7" s="2"/>
      <c r="B7" s="2"/>
      <c r="C7" s="2"/>
      <c r="D7" s="2"/>
      <c r="E7" s="2"/>
      <c r="F7" s="2"/>
      <c r="G7" s="40" t="s">
        <v>254</v>
      </c>
      <c r="H7" s="2"/>
    </row>
    <row r="8" spans="1:8" ht="13.5" customHeight="1">
      <c r="A8" s="2"/>
      <c r="B8" s="2"/>
      <c r="C8" s="2"/>
      <c r="D8" s="2"/>
      <c r="E8" s="2"/>
      <c r="F8" s="2"/>
      <c r="G8" s="2"/>
      <c r="H8" s="2"/>
    </row>
    <row r="9" spans="1:8" ht="109.5" customHeight="1">
      <c r="A9" s="54" t="s">
        <v>378</v>
      </c>
      <c r="B9" s="55"/>
      <c r="C9" s="55"/>
      <c r="D9" s="55"/>
      <c r="E9" s="55"/>
      <c r="F9" s="55"/>
      <c r="G9" s="55"/>
      <c r="H9" s="55"/>
    </row>
    <row r="10" spans="1:8" ht="13.5" customHeight="1">
      <c r="A10" s="2"/>
      <c r="B10" s="2"/>
      <c r="C10" s="2"/>
      <c r="D10" s="2"/>
      <c r="E10" s="2"/>
      <c r="F10" s="2"/>
      <c r="G10" s="2"/>
      <c r="H10" s="2"/>
    </row>
    <row r="11" spans="1:8" ht="13.5" customHeight="1">
      <c r="A11" s="2"/>
      <c r="B11" s="2"/>
      <c r="C11" s="2"/>
      <c r="D11" s="2"/>
      <c r="E11" s="2"/>
      <c r="F11" s="2"/>
      <c r="G11" s="2"/>
      <c r="H11" s="2"/>
    </row>
    <row r="12" spans="1:8" ht="13.5" customHeight="1">
      <c r="A12" s="2"/>
      <c r="B12" s="2"/>
      <c r="C12" s="2"/>
      <c r="D12" s="2"/>
      <c r="E12" s="2"/>
      <c r="F12" s="2"/>
      <c r="G12" s="2"/>
      <c r="H12" s="2"/>
    </row>
    <row r="13" spans="1:8" ht="16.5" customHeight="1">
      <c r="A13" s="129"/>
      <c r="B13" s="7"/>
      <c r="C13" s="7"/>
      <c r="D13" s="7"/>
      <c r="E13" s="7"/>
      <c r="F13" s="7"/>
      <c r="G13" s="130"/>
      <c r="H13" s="7"/>
    </row>
    <row r="14" spans="1:8" ht="29.25" customHeight="1">
      <c r="A14" s="23" t="s">
        <v>9</v>
      </c>
      <c r="B14" s="131" t="s">
        <v>379</v>
      </c>
      <c r="C14" s="131" t="s">
        <v>380</v>
      </c>
      <c r="D14" s="131" t="s">
        <v>257</v>
      </c>
      <c r="E14" s="131" t="s">
        <v>258</v>
      </c>
      <c r="F14" s="9" t="s">
        <v>10</v>
      </c>
      <c r="G14" s="9" t="s">
        <v>11</v>
      </c>
      <c r="H14" s="9" t="s">
        <v>12</v>
      </c>
    </row>
    <row r="15" spans="1:8" ht="39" customHeight="1">
      <c r="A15" s="12" t="s">
        <v>381</v>
      </c>
      <c r="B15" s="132"/>
      <c r="C15" s="132"/>
      <c r="D15" s="132"/>
      <c r="E15" s="132"/>
      <c r="F15" s="133">
        <f>F16+F174+F97+F108+F210+F202+F127+F139+F168+F162</f>
        <v>1371763860.79</v>
      </c>
      <c r="G15" s="133">
        <f>G16+G174+G97+G108+G210+G202+G127+G139+G168+G162</f>
        <v>456803332.87</v>
      </c>
      <c r="H15" s="133">
        <f>H16+H174+H97+H108+H210+H202+H127+H139+H168+H162</f>
        <v>466751664.96</v>
      </c>
    </row>
    <row r="16" spans="1:8" ht="15.75" customHeight="1">
      <c r="A16" s="131" t="s">
        <v>382</v>
      </c>
      <c r="B16" s="134" t="s">
        <v>383</v>
      </c>
      <c r="C16" s="134"/>
      <c r="D16" s="134"/>
      <c r="E16" s="134"/>
      <c r="F16" s="135">
        <f>F17+F22+F29+F37+F54+F59+F49</f>
        <v>587840850.22</v>
      </c>
      <c r="G16" s="135">
        <f>G17+G22+G29+G37+G54+G59+G49</f>
        <v>420491082.73</v>
      </c>
      <c r="H16" s="135">
        <f>H17+H22+H29+H37+H54+H59+H49</f>
        <v>429928992.82</v>
      </c>
    </row>
    <row r="17" spans="1:8" ht="47.25" customHeight="1">
      <c r="A17" s="131" t="s">
        <v>384</v>
      </c>
      <c r="B17" s="134" t="s">
        <v>383</v>
      </c>
      <c r="C17" s="134" t="s">
        <v>385</v>
      </c>
      <c r="D17" s="134"/>
      <c r="E17" s="134"/>
      <c r="F17" s="135">
        <f>F18</f>
        <v>6857940.14</v>
      </c>
      <c r="G17" s="135">
        <f>G18</f>
        <v>6572995.6</v>
      </c>
      <c r="H17" s="135">
        <f>H18</f>
        <v>6576358.8</v>
      </c>
    </row>
    <row r="18" spans="1:8" ht="15.75" customHeight="1">
      <c r="A18" s="131" t="s">
        <v>386</v>
      </c>
      <c r="B18" s="134" t="s">
        <v>383</v>
      </c>
      <c r="C18" s="134" t="s">
        <v>385</v>
      </c>
      <c r="D18" s="134" t="s">
        <v>387</v>
      </c>
      <c r="E18" s="134"/>
      <c r="F18" s="135">
        <f>F19</f>
        <v>6857940.14</v>
      </c>
      <c r="G18" s="135">
        <f>G19</f>
        <v>6572995.6</v>
      </c>
      <c r="H18" s="135">
        <f>H19</f>
        <v>6576358.8</v>
      </c>
    </row>
    <row r="19" spans="1:8" ht="30" customHeight="1">
      <c r="A19" s="131" t="s">
        <v>388</v>
      </c>
      <c r="B19" s="136" t="s">
        <v>383</v>
      </c>
      <c r="C19" s="136" t="s">
        <v>385</v>
      </c>
      <c r="D19" s="136" t="s">
        <v>389</v>
      </c>
      <c r="E19" s="136"/>
      <c r="F19" s="137">
        <f>F20</f>
        <v>6857940.14</v>
      </c>
      <c r="G19" s="137">
        <f>G20</f>
        <v>6572995.6</v>
      </c>
      <c r="H19" s="137">
        <f>H20</f>
        <v>6576358.8</v>
      </c>
    </row>
    <row r="20" spans="1:8" ht="16.5" customHeight="1">
      <c r="A20" s="131" t="s">
        <v>390</v>
      </c>
      <c r="B20" s="136" t="s">
        <v>383</v>
      </c>
      <c r="C20" s="136" t="s">
        <v>385</v>
      </c>
      <c r="D20" s="136" t="s">
        <v>391</v>
      </c>
      <c r="E20" s="136"/>
      <c r="F20" s="137">
        <f>F21</f>
        <v>6857940.14</v>
      </c>
      <c r="G20" s="137">
        <f>G21</f>
        <v>6572995.6</v>
      </c>
      <c r="H20" s="137">
        <f>H21</f>
        <v>6576358.8</v>
      </c>
    </row>
    <row r="21" spans="1:8" ht="75" customHeight="1">
      <c r="A21" s="131" t="s">
        <v>264</v>
      </c>
      <c r="B21" s="136" t="s">
        <v>383</v>
      </c>
      <c r="C21" s="136" t="s">
        <v>385</v>
      </c>
      <c r="D21" s="136" t="s">
        <v>391</v>
      </c>
      <c r="E21" s="136" t="s">
        <v>299</v>
      </c>
      <c r="F21" s="32">
        <f>6568916-4200+48972.14+244252</f>
        <v>6857940.14</v>
      </c>
      <c r="G21" s="32">
        <v>6572995.6</v>
      </c>
      <c r="H21" s="32">
        <v>6576358.8</v>
      </c>
    </row>
    <row r="22" spans="1:8" ht="63" customHeight="1">
      <c r="A22" s="131" t="s">
        <v>392</v>
      </c>
      <c r="B22" s="134" t="s">
        <v>383</v>
      </c>
      <c r="C22" s="134" t="s">
        <v>393</v>
      </c>
      <c r="D22" s="134"/>
      <c r="E22" s="134"/>
      <c r="F22" s="135">
        <f>F23</f>
        <v>3323998.34</v>
      </c>
      <c r="G22" s="135">
        <f>G23</f>
        <v>4122956.32</v>
      </c>
      <c r="H22" s="135">
        <f>H23</f>
        <v>4252157.71</v>
      </c>
    </row>
    <row r="23" spans="1:8" ht="15.75" customHeight="1">
      <c r="A23" s="131" t="s">
        <v>386</v>
      </c>
      <c r="B23" s="134" t="s">
        <v>383</v>
      </c>
      <c r="C23" s="134" t="s">
        <v>393</v>
      </c>
      <c r="D23" s="134" t="s">
        <v>387</v>
      </c>
      <c r="E23" s="134"/>
      <c r="F23" s="135">
        <f>F24</f>
        <v>3323998.34</v>
      </c>
      <c r="G23" s="135">
        <f>G24</f>
        <v>4122956.32</v>
      </c>
      <c r="H23" s="135">
        <f>H24</f>
        <v>4252157.71</v>
      </c>
    </row>
    <row r="24" spans="1:8" ht="30" customHeight="1">
      <c r="A24" s="131" t="s">
        <v>388</v>
      </c>
      <c r="B24" s="136" t="s">
        <v>383</v>
      </c>
      <c r="C24" s="136" t="s">
        <v>393</v>
      </c>
      <c r="D24" s="136" t="s">
        <v>389</v>
      </c>
      <c r="E24" s="136"/>
      <c r="F24" s="137">
        <f>F25</f>
        <v>3323998.34</v>
      </c>
      <c r="G24" s="137">
        <f>G25</f>
        <v>4122956.32</v>
      </c>
      <c r="H24" s="137">
        <f>H25</f>
        <v>4252157.71</v>
      </c>
    </row>
    <row r="25" spans="1:8" ht="30" customHeight="1">
      <c r="A25" s="131" t="s">
        <v>394</v>
      </c>
      <c r="B25" s="136" t="s">
        <v>383</v>
      </c>
      <c r="C25" s="136" t="s">
        <v>393</v>
      </c>
      <c r="D25" s="136" t="s">
        <v>395</v>
      </c>
      <c r="E25" s="136"/>
      <c r="F25" s="137">
        <f>F26+F27+F28</f>
        <v>3323998.34</v>
      </c>
      <c r="G25" s="137">
        <f>G26+G27+G28</f>
        <v>4122956.32</v>
      </c>
      <c r="H25" s="137">
        <f>H26+H27+H28</f>
        <v>4252157.71</v>
      </c>
    </row>
    <row r="26" spans="1:8" ht="75" customHeight="1">
      <c r="A26" s="131" t="s">
        <v>264</v>
      </c>
      <c r="B26" s="136" t="s">
        <v>383</v>
      </c>
      <c r="C26" s="136" t="s">
        <v>393</v>
      </c>
      <c r="D26" s="136" t="s">
        <v>395</v>
      </c>
      <c r="E26" s="136" t="s">
        <v>299</v>
      </c>
      <c r="F26" s="32">
        <f>190502.81+50000+57531.85+660860-330430-184484.71</f>
        <v>443979.95</v>
      </c>
      <c r="G26" s="32">
        <f aca="true" t="shared" si="0" ref="G26:H26">190502.81+50000+57531.85+400000</f>
        <v>698034.66</v>
      </c>
      <c r="H26" s="32">
        <f t="shared" si="0"/>
        <v>698034.66</v>
      </c>
    </row>
    <row r="27" spans="1:8" ht="30" customHeight="1">
      <c r="A27" s="131" t="s">
        <v>265</v>
      </c>
      <c r="B27" s="136" t="s">
        <v>383</v>
      </c>
      <c r="C27" s="136" t="s">
        <v>393</v>
      </c>
      <c r="D27" s="136" t="s">
        <v>395</v>
      </c>
      <c r="E27" s="136" t="s">
        <v>330</v>
      </c>
      <c r="F27" s="32">
        <f>25454+24683.79+362230+27400+2250+200000+2493355+154410+16560+20000+39057-100000-191060-214321.4</f>
        <v>2860018.39</v>
      </c>
      <c r="G27" s="32">
        <f>26752+25942.66+380703.7+28249.4+2250+100000+2620516.1+159200+16040+40267.8</f>
        <v>3399921.66</v>
      </c>
      <c r="H27" s="32">
        <f>27554.56+26980.36+395931.85+29096.5+2250+100000+2725336.75+163976+16521.2+41475.83</f>
        <v>3529123.05</v>
      </c>
    </row>
    <row r="28" spans="1:8" ht="16.5" customHeight="1">
      <c r="A28" s="131" t="s">
        <v>267</v>
      </c>
      <c r="B28" s="136" t="s">
        <v>383</v>
      </c>
      <c r="C28" s="136" t="s">
        <v>393</v>
      </c>
      <c r="D28" s="136" t="s">
        <v>395</v>
      </c>
      <c r="E28" s="136" t="s">
        <v>306</v>
      </c>
      <c r="F28" s="137">
        <f>25000-5000</f>
        <v>20000</v>
      </c>
      <c r="G28" s="137">
        <v>25000</v>
      </c>
      <c r="H28" s="137">
        <v>25000</v>
      </c>
    </row>
    <row r="29" spans="1:8" ht="78.75" customHeight="1">
      <c r="A29" s="131" t="s">
        <v>396</v>
      </c>
      <c r="B29" s="134" t="s">
        <v>383</v>
      </c>
      <c r="C29" s="134" t="s">
        <v>397</v>
      </c>
      <c r="D29" s="134"/>
      <c r="E29" s="134"/>
      <c r="F29" s="135">
        <f>F30</f>
        <v>66830144.16</v>
      </c>
      <c r="G29" s="135">
        <f>G30</f>
        <v>64607619.22</v>
      </c>
      <c r="H29" s="135">
        <f>H30</f>
        <v>65061241.19</v>
      </c>
    </row>
    <row r="30" spans="1:8" ht="15.75" customHeight="1">
      <c r="A30" s="131" t="s">
        <v>386</v>
      </c>
      <c r="B30" s="134" t="s">
        <v>383</v>
      </c>
      <c r="C30" s="134" t="s">
        <v>397</v>
      </c>
      <c r="D30" s="134" t="s">
        <v>387</v>
      </c>
      <c r="E30" s="134"/>
      <c r="F30" s="135">
        <f>F31</f>
        <v>66830144.16</v>
      </c>
      <c r="G30" s="135">
        <f>G31</f>
        <v>64607619.22</v>
      </c>
      <c r="H30" s="135">
        <f>H31</f>
        <v>65061241.19</v>
      </c>
    </row>
    <row r="31" spans="1:8" ht="30" customHeight="1">
      <c r="A31" s="131" t="s">
        <v>388</v>
      </c>
      <c r="B31" s="136" t="s">
        <v>383</v>
      </c>
      <c r="C31" s="136" t="s">
        <v>397</v>
      </c>
      <c r="D31" s="136" t="s">
        <v>389</v>
      </c>
      <c r="E31" s="136"/>
      <c r="F31" s="137">
        <f>F32</f>
        <v>66830144.16</v>
      </c>
      <c r="G31" s="137">
        <f>G32</f>
        <v>64607619.22</v>
      </c>
      <c r="H31" s="137">
        <f>H32</f>
        <v>65061241.19</v>
      </c>
    </row>
    <row r="32" spans="1:8" ht="30" customHeight="1">
      <c r="A32" s="131" t="s">
        <v>398</v>
      </c>
      <c r="B32" s="136" t="s">
        <v>383</v>
      </c>
      <c r="C32" s="136" t="s">
        <v>397</v>
      </c>
      <c r="D32" s="136" t="s">
        <v>399</v>
      </c>
      <c r="E32" s="136"/>
      <c r="F32" s="137">
        <f>F33+F34+F35+F36</f>
        <v>66830144.16</v>
      </c>
      <c r="G32" s="137">
        <f>G33+G34+G35+G36</f>
        <v>64607619.22</v>
      </c>
      <c r="H32" s="137">
        <f>H33+H34+H35+H36</f>
        <v>65061241.19</v>
      </c>
    </row>
    <row r="33" spans="1:8" ht="75" customHeight="1">
      <c r="A33" s="131" t="s">
        <v>264</v>
      </c>
      <c r="B33" s="136" t="s">
        <v>383</v>
      </c>
      <c r="C33" s="136" t="s">
        <v>397</v>
      </c>
      <c r="D33" s="136" t="s">
        <v>399</v>
      </c>
      <c r="E33" s="136" t="s">
        <v>299</v>
      </c>
      <c r="F33" s="32">
        <f>55994678+995514.4+300645.35-433063+1807758.12-285000.38+1224865.19-322986.62+1360436</f>
        <v>60642847.06</v>
      </c>
      <c r="G33" s="32">
        <f>56187707.37+995514.4+300645.35</f>
        <v>57483867.12</v>
      </c>
      <c r="H33" s="32">
        <f>56375975.02+995514.4+300645.35</f>
        <v>57672134.77</v>
      </c>
    </row>
    <row r="34" spans="1:8" ht="30" customHeight="1">
      <c r="A34" s="131" t="s">
        <v>265</v>
      </c>
      <c r="B34" s="136" t="s">
        <v>383</v>
      </c>
      <c r="C34" s="136" t="s">
        <v>397</v>
      </c>
      <c r="D34" s="136" t="s">
        <v>399</v>
      </c>
      <c r="E34" s="136" t="s">
        <v>330</v>
      </c>
      <c r="F34" s="32">
        <f>6659807-553600-5901.3-1000-451524.5</f>
        <v>5647781.2</v>
      </c>
      <c r="G34" s="32">
        <v>6961444.07</v>
      </c>
      <c r="H34" s="32">
        <v>7220306.07</v>
      </c>
    </row>
    <row r="35" spans="1:8" ht="30" customHeight="1">
      <c r="A35" s="131" t="s">
        <v>266</v>
      </c>
      <c r="B35" s="136" t="s">
        <v>383</v>
      </c>
      <c r="C35" s="136" t="s">
        <v>397</v>
      </c>
      <c r="D35" s="136" t="s">
        <v>399</v>
      </c>
      <c r="E35" s="136" t="s">
        <v>335</v>
      </c>
      <c r="F35" s="32">
        <f>528949.44+301386.86-436152.4</f>
        <v>394183.9</v>
      </c>
      <c r="G35" s="32">
        <v>0</v>
      </c>
      <c r="H35" s="32">
        <v>0</v>
      </c>
    </row>
    <row r="36" spans="1:8" ht="16.5" customHeight="1">
      <c r="A36" s="131" t="s">
        <v>267</v>
      </c>
      <c r="B36" s="136" t="s">
        <v>383</v>
      </c>
      <c r="C36" s="136" t="s">
        <v>397</v>
      </c>
      <c r="D36" s="136" t="s">
        <v>399</v>
      </c>
      <c r="E36" s="136" t="s">
        <v>306</v>
      </c>
      <c r="F36" s="32">
        <f>154432-9100</f>
        <v>145332</v>
      </c>
      <c r="G36" s="32">
        <v>162308.03</v>
      </c>
      <c r="H36" s="32">
        <v>168800.35</v>
      </c>
    </row>
    <row r="37" spans="1:8" ht="63" customHeight="1">
      <c r="A37" s="131" t="s">
        <v>400</v>
      </c>
      <c r="B37" s="134" t="s">
        <v>383</v>
      </c>
      <c r="C37" s="134" t="s">
        <v>401</v>
      </c>
      <c r="D37" s="134"/>
      <c r="E37" s="134"/>
      <c r="F37" s="135">
        <f>F38</f>
        <v>44730393.85</v>
      </c>
      <c r="G37" s="135">
        <f>G38</f>
        <v>39196555.57</v>
      </c>
      <c r="H37" s="135">
        <f>H38</f>
        <v>40038193.86</v>
      </c>
    </row>
    <row r="38" spans="1:8" ht="15.75" customHeight="1">
      <c r="A38" s="131" t="s">
        <v>386</v>
      </c>
      <c r="B38" s="134" t="s">
        <v>383</v>
      </c>
      <c r="C38" s="134" t="s">
        <v>401</v>
      </c>
      <c r="D38" s="134" t="s">
        <v>387</v>
      </c>
      <c r="E38" s="134"/>
      <c r="F38" s="135">
        <f>F39+F46</f>
        <v>44730393.85</v>
      </c>
      <c r="G38" s="135">
        <f>G39+G46</f>
        <v>39196555.57</v>
      </c>
      <c r="H38" s="135">
        <f>H39+H46</f>
        <v>40038193.86</v>
      </c>
    </row>
    <row r="39" spans="1:8" ht="30" customHeight="1">
      <c r="A39" s="131" t="s">
        <v>388</v>
      </c>
      <c r="B39" s="136" t="s">
        <v>383</v>
      </c>
      <c r="C39" s="136" t="s">
        <v>401</v>
      </c>
      <c r="D39" s="136" t="s">
        <v>389</v>
      </c>
      <c r="E39" s="136"/>
      <c r="F39" s="137">
        <f>F40+F42</f>
        <v>12522251.81</v>
      </c>
      <c r="G39" s="137">
        <f>G40+G42</f>
        <v>10175570.03</v>
      </c>
      <c r="H39" s="137">
        <f>H40+H42</f>
        <v>10484925.82</v>
      </c>
    </row>
    <row r="40" spans="1:8" ht="30" customHeight="1">
      <c r="A40" s="131" t="s">
        <v>402</v>
      </c>
      <c r="B40" s="136" t="s">
        <v>383</v>
      </c>
      <c r="C40" s="136" t="s">
        <v>401</v>
      </c>
      <c r="D40" s="136" t="s">
        <v>403</v>
      </c>
      <c r="E40" s="136"/>
      <c r="F40" s="137">
        <f>F41</f>
        <v>4353315.6</v>
      </c>
      <c r="G40" s="137">
        <f>G41</f>
        <v>3164252</v>
      </c>
      <c r="H40" s="137">
        <f>H41</f>
        <v>3328208</v>
      </c>
    </row>
    <row r="41" spans="1:8" ht="75" customHeight="1">
      <c r="A41" s="131" t="s">
        <v>264</v>
      </c>
      <c r="B41" s="136" t="s">
        <v>383</v>
      </c>
      <c r="C41" s="136" t="s">
        <v>401</v>
      </c>
      <c r="D41" s="136" t="s">
        <v>403</v>
      </c>
      <c r="E41" s="136" t="s">
        <v>299</v>
      </c>
      <c r="F41" s="137">
        <f>3314252+709204-35054+264913.6+100000</f>
        <v>4353315.6</v>
      </c>
      <c r="G41" s="137">
        <v>3164252</v>
      </c>
      <c r="H41" s="137">
        <v>3328208</v>
      </c>
    </row>
    <row r="42" spans="1:8" ht="30" customHeight="1">
      <c r="A42" s="131" t="s">
        <v>398</v>
      </c>
      <c r="B42" s="136" t="s">
        <v>383</v>
      </c>
      <c r="C42" s="136" t="s">
        <v>401</v>
      </c>
      <c r="D42" s="136" t="s">
        <v>399</v>
      </c>
      <c r="E42" s="136"/>
      <c r="F42" s="137">
        <f>F43+F44+F45</f>
        <v>8168936.21</v>
      </c>
      <c r="G42" s="137">
        <f>G43+G44+G45</f>
        <v>7011318.03</v>
      </c>
      <c r="H42" s="137">
        <f>H43+H44+H45</f>
        <v>7156717.82</v>
      </c>
    </row>
    <row r="43" spans="1:8" ht="75" customHeight="1">
      <c r="A43" s="131" t="s">
        <v>264</v>
      </c>
      <c r="B43" s="136" t="s">
        <v>383</v>
      </c>
      <c r="C43" s="136" t="s">
        <v>401</v>
      </c>
      <c r="D43" s="136" t="s">
        <v>399</v>
      </c>
      <c r="E43" s="136" t="s">
        <v>299</v>
      </c>
      <c r="F43" s="32">
        <f>3988783.33+1204612.57+230000+9400+200000+416000+549120-87848.52+189702.43+188608</f>
        <v>6888377.81</v>
      </c>
      <c r="G43" s="32">
        <f>3988783.33+1204612.57+150000+9400+210200</f>
        <v>5562995.9</v>
      </c>
      <c r="H43" s="32">
        <f>3988783.33+1204612.57+230000+9400+218608</f>
        <v>5651403.9</v>
      </c>
    </row>
    <row r="44" spans="1:8" ht="30" customHeight="1">
      <c r="A44" s="131" t="s">
        <v>265</v>
      </c>
      <c r="B44" s="136" t="s">
        <v>383</v>
      </c>
      <c r="C44" s="136" t="s">
        <v>401</v>
      </c>
      <c r="D44" s="136" t="s">
        <v>399</v>
      </c>
      <c r="E44" s="136" t="s">
        <v>330</v>
      </c>
      <c r="F44" s="32">
        <f>136472+5000+594924+372103+80000+100000+50000+20640+20640-253576.6</f>
        <v>1126202.4</v>
      </c>
      <c r="G44" s="32">
        <f>143432.07+5255+625265.12+391080.25+84080+105100+51550+21279.84+21279.85</f>
        <v>1448322.13</v>
      </c>
      <c r="H44" s="32">
        <f>149169.35+5465.2+650275.73+406723.46+87443.2+109304+53096.5+21918.24+21918.24</f>
        <v>1505313.92</v>
      </c>
    </row>
    <row r="45" spans="1:8" ht="30" customHeight="1">
      <c r="A45" s="131" t="s">
        <v>266</v>
      </c>
      <c r="B45" s="136" t="s">
        <v>383</v>
      </c>
      <c r="C45" s="136" t="s">
        <v>401</v>
      </c>
      <c r="D45" s="136" t="s">
        <v>399</v>
      </c>
      <c r="E45" s="136" t="s">
        <v>335</v>
      </c>
      <c r="F45" s="32">
        <v>154356</v>
      </c>
      <c r="G45" s="32">
        <v>0</v>
      </c>
      <c r="H45" s="32">
        <v>0</v>
      </c>
    </row>
    <row r="46" spans="1:8" ht="30" customHeight="1">
      <c r="A46" s="131" t="s">
        <v>398</v>
      </c>
      <c r="B46" s="136" t="s">
        <v>383</v>
      </c>
      <c r="C46" s="136" t="s">
        <v>401</v>
      </c>
      <c r="D46" s="136" t="s">
        <v>399</v>
      </c>
      <c r="E46" s="136"/>
      <c r="F46" s="137">
        <f>F47+F48</f>
        <v>32208142.04</v>
      </c>
      <c r="G46" s="137">
        <f>G47+G48</f>
        <v>29020985.54</v>
      </c>
      <c r="H46" s="137">
        <f>H47+H48</f>
        <v>29553268.04</v>
      </c>
    </row>
    <row r="47" spans="1:8" ht="75" customHeight="1">
      <c r="A47" s="131" t="s">
        <v>264</v>
      </c>
      <c r="B47" s="136" t="s">
        <v>383</v>
      </c>
      <c r="C47" s="136" t="s">
        <v>401</v>
      </c>
      <c r="D47" s="136" t="s">
        <v>399</v>
      </c>
      <c r="E47" s="136" t="s">
        <v>299</v>
      </c>
      <c r="F47" s="137">
        <f>27485268.04-30000+1565790-200000+720745+673839</f>
        <v>30215642.04</v>
      </c>
      <c r="G47" s="137">
        <v>26935268.04</v>
      </c>
      <c r="H47" s="137">
        <v>27485268.04</v>
      </c>
    </row>
    <row r="48" spans="1:8" ht="30" customHeight="1">
      <c r="A48" s="131" t="s">
        <v>265</v>
      </c>
      <c r="B48" s="136" t="s">
        <v>383</v>
      </c>
      <c r="C48" s="136" t="s">
        <v>401</v>
      </c>
      <c r="D48" s="136" t="s">
        <v>399</v>
      </c>
      <c r="E48" s="136" t="s">
        <v>330</v>
      </c>
      <c r="F48" s="32">
        <v>1992500</v>
      </c>
      <c r="G48" s="32">
        <v>2085717.5</v>
      </c>
      <c r="H48" s="32">
        <v>2068000</v>
      </c>
    </row>
    <row r="49" spans="1:8" ht="15.75" customHeight="1">
      <c r="A49" s="131" t="s">
        <v>404</v>
      </c>
      <c r="B49" s="134" t="s">
        <v>383</v>
      </c>
      <c r="C49" s="134" t="s">
        <v>405</v>
      </c>
      <c r="D49" s="134"/>
      <c r="E49" s="134"/>
      <c r="F49" s="32">
        <f>F50</f>
        <v>1000</v>
      </c>
      <c r="G49" s="32">
        <f>G50</f>
        <v>0</v>
      </c>
      <c r="H49" s="32">
        <f>H50</f>
        <v>0</v>
      </c>
    </row>
    <row r="50" spans="1:8" ht="15.75" customHeight="1">
      <c r="A50" s="131" t="s">
        <v>386</v>
      </c>
      <c r="B50" s="134" t="s">
        <v>383</v>
      </c>
      <c r="C50" s="134" t="s">
        <v>405</v>
      </c>
      <c r="D50" s="134" t="s">
        <v>387</v>
      </c>
      <c r="E50" s="134"/>
      <c r="F50" s="32">
        <f>F51</f>
        <v>1000</v>
      </c>
      <c r="G50" s="32">
        <f>G51</f>
        <v>0</v>
      </c>
      <c r="H50" s="32">
        <f>H51</f>
        <v>0</v>
      </c>
    </row>
    <row r="51" spans="1:8" ht="16.5" customHeight="1">
      <c r="A51" s="131" t="s">
        <v>406</v>
      </c>
      <c r="B51" s="136" t="s">
        <v>383</v>
      </c>
      <c r="C51" s="136" t="s">
        <v>405</v>
      </c>
      <c r="D51" s="136" t="s">
        <v>407</v>
      </c>
      <c r="E51" s="136"/>
      <c r="F51" s="32">
        <f>F52</f>
        <v>1000</v>
      </c>
      <c r="G51" s="32">
        <f>G52</f>
        <v>0</v>
      </c>
      <c r="H51" s="32">
        <f>H52</f>
        <v>0</v>
      </c>
    </row>
    <row r="52" spans="1:8" ht="30" customHeight="1">
      <c r="A52" s="131" t="s">
        <v>408</v>
      </c>
      <c r="B52" s="136" t="s">
        <v>383</v>
      </c>
      <c r="C52" s="136" t="s">
        <v>405</v>
      </c>
      <c r="D52" s="136" t="s">
        <v>409</v>
      </c>
      <c r="E52" s="136"/>
      <c r="F52" s="32">
        <f>F53</f>
        <v>1000</v>
      </c>
      <c r="G52" s="32">
        <f>G53</f>
        <v>0</v>
      </c>
      <c r="H52" s="32">
        <f>H53</f>
        <v>0</v>
      </c>
    </row>
    <row r="53" spans="1:8" ht="30" customHeight="1">
      <c r="A53" s="131" t="s">
        <v>265</v>
      </c>
      <c r="B53" s="136" t="s">
        <v>383</v>
      </c>
      <c r="C53" s="136" t="s">
        <v>410</v>
      </c>
      <c r="D53" s="136" t="s">
        <v>409</v>
      </c>
      <c r="E53" s="136" t="s">
        <v>330</v>
      </c>
      <c r="F53" s="32">
        <v>1000</v>
      </c>
      <c r="G53" s="32">
        <v>0</v>
      </c>
      <c r="H53" s="32">
        <v>0</v>
      </c>
    </row>
    <row r="54" spans="1:8" ht="15.75" customHeight="1">
      <c r="A54" s="131" t="s">
        <v>411</v>
      </c>
      <c r="B54" s="134" t="s">
        <v>383</v>
      </c>
      <c r="C54" s="134" t="s">
        <v>412</v>
      </c>
      <c r="D54" s="134"/>
      <c r="E54" s="134"/>
      <c r="F54" s="135">
        <f>F55</f>
        <v>40017479.91</v>
      </c>
      <c r="G54" s="135">
        <f>G55</f>
        <v>30000000</v>
      </c>
      <c r="H54" s="135">
        <f>H55</f>
        <v>30000000</v>
      </c>
    </row>
    <row r="55" spans="1:8" ht="15.75" customHeight="1">
      <c r="A55" s="131" t="s">
        <v>386</v>
      </c>
      <c r="B55" s="134" t="s">
        <v>383</v>
      </c>
      <c r="C55" s="134" t="s">
        <v>412</v>
      </c>
      <c r="D55" s="134" t="s">
        <v>387</v>
      </c>
      <c r="E55" s="134"/>
      <c r="F55" s="135">
        <f>F56</f>
        <v>40017479.91</v>
      </c>
      <c r="G55" s="135">
        <f>G56</f>
        <v>30000000</v>
      </c>
      <c r="H55" s="135">
        <f>H56</f>
        <v>30000000</v>
      </c>
    </row>
    <row r="56" spans="1:8" ht="16.5" customHeight="1">
      <c r="A56" s="131" t="s">
        <v>406</v>
      </c>
      <c r="B56" s="136" t="s">
        <v>383</v>
      </c>
      <c r="C56" s="136" t="s">
        <v>412</v>
      </c>
      <c r="D56" s="136" t="s">
        <v>407</v>
      </c>
      <c r="E56" s="136"/>
      <c r="F56" s="137">
        <f>F57</f>
        <v>40017479.91</v>
      </c>
      <c r="G56" s="137">
        <f>G57</f>
        <v>30000000</v>
      </c>
      <c r="H56" s="137">
        <f>H57</f>
        <v>30000000</v>
      </c>
    </row>
    <row r="57" spans="1:8" ht="16.5" customHeight="1">
      <c r="A57" s="131" t="s">
        <v>413</v>
      </c>
      <c r="B57" s="136" t="s">
        <v>383</v>
      </c>
      <c r="C57" s="136" t="s">
        <v>412</v>
      </c>
      <c r="D57" s="136" t="s">
        <v>414</v>
      </c>
      <c r="E57" s="136"/>
      <c r="F57" s="137">
        <f>F58</f>
        <v>40017479.91</v>
      </c>
      <c r="G57" s="137">
        <f>G58</f>
        <v>30000000</v>
      </c>
      <c r="H57" s="137">
        <f>H58</f>
        <v>30000000</v>
      </c>
    </row>
    <row r="58" spans="1:8" ht="16.5" customHeight="1">
      <c r="A58" s="131" t="s">
        <v>267</v>
      </c>
      <c r="B58" s="136" t="s">
        <v>383</v>
      </c>
      <c r="C58" s="136" t="s">
        <v>412</v>
      </c>
      <c r="D58" s="136" t="s">
        <v>414</v>
      </c>
      <c r="E58" s="136" t="s">
        <v>306</v>
      </c>
      <c r="F58" s="32">
        <f>60000000-6161058.91+201600+1275234+1863678.81-739033.62-636514.16-1105180.62-10474-221400-78300-1000000-18191666.65-2276600-2228000+2228000+18191666.65-455593.6+455593.6-246815+246815-299365.6-22250-1358855.99-5985000-12470744.13+12470744.13-3429000</f>
        <v>40017479.91</v>
      </c>
      <c r="G58" s="32">
        <v>30000000</v>
      </c>
      <c r="H58" s="32">
        <v>30000000</v>
      </c>
    </row>
    <row r="59" spans="1:8" ht="15.75" customHeight="1">
      <c r="A59" s="131" t="s">
        <v>415</v>
      </c>
      <c r="B59" s="134" t="s">
        <v>383</v>
      </c>
      <c r="C59" s="134" t="s">
        <v>410</v>
      </c>
      <c r="D59" s="134"/>
      <c r="E59" s="134"/>
      <c r="F59" s="135">
        <f>F60</f>
        <v>426079893.82</v>
      </c>
      <c r="G59" s="135">
        <f>G60</f>
        <v>275990956.02</v>
      </c>
      <c r="H59" s="135">
        <f>H60</f>
        <v>284001041.26</v>
      </c>
    </row>
    <row r="60" spans="1:8" ht="15.75" customHeight="1">
      <c r="A60" s="131" t="s">
        <v>386</v>
      </c>
      <c r="B60" s="134" t="s">
        <v>383</v>
      </c>
      <c r="C60" s="134" t="s">
        <v>410</v>
      </c>
      <c r="D60" s="138">
        <v>9900000000</v>
      </c>
      <c r="E60" s="134"/>
      <c r="F60" s="135">
        <f>F61+F84</f>
        <v>426079893.82</v>
      </c>
      <c r="G60" s="135">
        <f>G61+G84</f>
        <v>275990956.02</v>
      </c>
      <c r="H60" s="135">
        <f>H61+H84</f>
        <v>284001041.26</v>
      </c>
    </row>
    <row r="61" spans="1:8" ht="30" customHeight="1">
      <c r="A61" s="131" t="s">
        <v>388</v>
      </c>
      <c r="B61" s="136" t="s">
        <v>383</v>
      </c>
      <c r="C61" s="136" t="s">
        <v>410</v>
      </c>
      <c r="D61" s="139">
        <v>9910000000</v>
      </c>
      <c r="E61" s="136"/>
      <c r="F61" s="137">
        <f>F62+F64+F66+F69+F71+F75+F79</f>
        <v>340776009.03</v>
      </c>
      <c r="G61" s="137">
        <f>G62+G64+G66+G69+G71+G75+G79</f>
        <v>270354469.27</v>
      </c>
      <c r="H61" s="137">
        <f>H62+H64+H66+H69+H71+H75+H79</f>
        <v>278148290.24</v>
      </c>
    </row>
    <row r="62" spans="1:8" ht="30" customHeight="1">
      <c r="A62" s="131" t="s">
        <v>398</v>
      </c>
      <c r="B62" s="136" t="s">
        <v>383</v>
      </c>
      <c r="C62" s="136" t="s">
        <v>410</v>
      </c>
      <c r="D62" s="139">
        <v>9910011410</v>
      </c>
      <c r="E62" s="136"/>
      <c r="F62" s="137">
        <f>F63</f>
        <v>1088209.87</v>
      </c>
      <c r="G62" s="137">
        <f>G63</f>
        <v>1098864.13</v>
      </c>
      <c r="H62" s="137">
        <f>H63</f>
        <v>1098864.13</v>
      </c>
    </row>
    <row r="63" spans="1:8" ht="75" customHeight="1">
      <c r="A63" s="131" t="s">
        <v>264</v>
      </c>
      <c r="B63" s="136" t="s">
        <v>383</v>
      </c>
      <c r="C63" s="136" t="s">
        <v>410</v>
      </c>
      <c r="D63" s="139">
        <v>9910011410</v>
      </c>
      <c r="E63" s="136" t="s">
        <v>299</v>
      </c>
      <c r="F63" s="137">
        <f>1098864.13-37976.26+27322</f>
        <v>1088209.87</v>
      </c>
      <c r="G63" s="137">
        <v>1098864.13</v>
      </c>
      <c r="H63" s="137">
        <v>1098864.13</v>
      </c>
    </row>
    <row r="64" spans="1:8" ht="30" customHeight="1">
      <c r="A64" s="131" t="s">
        <v>416</v>
      </c>
      <c r="B64" s="136" t="s">
        <v>383</v>
      </c>
      <c r="C64" s="136" t="s">
        <v>410</v>
      </c>
      <c r="D64" s="139">
        <v>9910022001</v>
      </c>
      <c r="E64" s="136"/>
      <c r="F64" s="137">
        <f>F65</f>
        <v>2737056</v>
      </c>
      <c r="G64" s="137">
        <f>G65</f>
        <v>2387616</v>
      </c>
      <c r="H64" s="137">
        <f>H65</f>
        <v>2687616</v>
      </c>
    </row>
    <row r="65" spans="1:8" ht="75" customHeight="1">
      <c r="A65" s="131" t="s">
        <v>264</v>
      </c>
      <c r="B65" s="136" t="s">
        <v>383</v>
      </c>
      <c r="C65" s="136" t="s">
        <v>410</v>
      </c>
      <c r="D65" s="139">
        <v>9910022001</v>
      </c>
      <c r="E65" s="136" t="s">
        <v>299</v>
      </c>
      <c r="F65" s="137">
        <f>2687616-10000+59440</f>
        <v>2737056</v>
      </c>
      <c r="G65" s="137">
        <v>2387616</v>
      </c>
      <c r="H65" s="137">
        <v>2687616</v>
      </c>
    </row>
    <row r="66" spans="1:8" ht="30" customHeight="1">
      <c r="A66" s="131" t="s">
        <v>416</v>
      </c>
      <c r="B66" s="136" t="s">
        <v>383</v>
      </c>
      <c r="C66" s="136" t="s">
        <v>410</v>
      </c>
      <c r="D66" s="139">
        <v>9910022001</v>
      </c>
      <c r="E66" s="136"/>
      <c r="F66" s="137">
        <f>F67+F68</f>
        <v>4977992.66</v>
      </c>
      <c r="G66" s="137">
        <f>G67+G68</f>
        <v>5519270.46</v>
      </c>
      <c r="H66" s="137">
        <f>H67+H68</f>
        <v>5511959.07</v>
      </c>
    </row>
    <row r="67" spans="1:8" ht="75" customHeight="1">
      <c r="A67" s="131" t="s">
        <v>264</v>
      </c>
      <c r="B67" s="136" t="s">
        <v>383</v>
      </c>
      <c r="C67" s="136" t="s">
        <v>410</v>
      </c>
      <c r="D67" s="139">
        <v>9910022001</v>
      </c>
      <c r="E67" s="136" t="s">
        <v>299</v>
      </c>
      <c r="F67" s="32">
        <f>3164053.95+955544.11+4900+100000+99000-49000-122727</f>
        <v>4151771.06</v>
      </c>
      <c r="G67" s="32">
        <f>3164053.95+955544.11+4900+132340+102564</f>
        <v>4359402.06</v>
      </c>
      <c r="H67" s="32">
        <f>3164053.95+955544.11+4900+132340+101970</f>
        <v>4358808.06</v>
      </c>
    </row>
    <row r="68" spans="1:8" ht="30" customHeight="1">
      <c r="A68" s="131" t="s">
        <v>265</v>
      </c>
      <c r="B68" s="136" t="s">
        <v>383</v>
      </c>
      <c r="C68" s="136" t="s">
        <v>410</v>
      </c>
      <c r="D68" s="139">
        <v>9910022001</v>
      </c>
      <c r="E68" s="136" t="s">
        <v>330</v>
      </c>
      <c r="F68" s="32">
        <f>126720+22500+106583.2+27100+17000+70000+712176.89+37484+157106.85-450449.34</f>
        <v>826221.6</v>
      </c>
      <c r="G68" s="32">
        <f>131281.92+23310+110420.2+28075.6+17612+72520+737815.26+38833.42</f>
        <v>1159868.4</v>
      </c>
      <c r="H68" s="32">
        <f>130521.6+23175+109780.7+27913+17510+72100+733542.2+38608.51</f>
        <v>1153151.01</v>
      </c>
    </row>
    <row r="69" spans="1:8" ht="30" customHeight="1">
      <c r="A69" s="131" t="s">
        <v>416</v>
      </c>
      <c r="B69" s="136" t="s">
        <v>383</v>
      </c>
      <c r="C69" s="136" t="s">
        <v>410</v>
      </c>
      <c r="D69" s="139">
        <v>9910022001</v>
      </c>
      <c r="E69" s="136"/>
      <c r="F69" s="137">
        <f>SUM(F70:F70)</f>
        <v>229151212.26</v>
      </c>
      <c r="G69" s="137">
        <f>SUM(G70:G70)</f>
        <v>199814928.95</v>
      </c>
      <c r="H69" s="137">
        <f>SUM(H70:H70)</f>
        <v>206609660.91</v>
      </c>
    </row>
    <row r="70" spans="1:8" ht="45" customHeight="1">
      <c r="A70" s="131" t="s">
        <v>274</v>
      </c>
      <c r="B70" s="136" t="s">
        <v>383</v>
      </c>
      <c r="C70" s="136" t="s">
        <v>410</v>
      </c>
      <c r="D70" s="139">
        <v>9910022001</v>
      </c>
      <c r="E70" s="136" t="s">
        <v>417</v>
      </c>
      <c r="F70" s="29">
        <f>218751062.41-10329600.21-20582105.96+140996.98+4990907.92+18599536.15+3616585.66+455593.6+4981623.71+2537854+5463479+525279</f>
        <v>229151212.26</v>
      </c>
      <c r="G70" s="28">
        <f>227830657.38-10329600-22457109.04+4770980.61</f>
        <v>199814928.95</v>
      </c>
      <c r="H70" s="28">
        <f>235555600.49-10329600.21-23197449.39+4581110.02</f>
        <v>206609660.91</v>
      </c>
    </row>
    <row r="71" spans="1:8" ht="30" customHeight="1">
      <c r="A71" s="131" t="s">
        <v>416</v>
      </c>
      <c r="B71" s="136" t="s">
        <v>383</v>
      </c>
      <c r="C71" s="136" t="s">
        <v>410</v>
      </c>
      <c r="D71" s="139">
        <v>9910022001</v>
      </c>
      <c r="E71" s="136"/>
      <c r="F71" s="137">
        <f>SUM(F72:F74)</f>
        <v>47691583.61</v>
      </c>
      <c r="G71" s="137">
        <f>SUM(G72:G74)</f>
        <v>45621893.11</v>
      </c>
      <c r="H71" s="137">
        <f>SUM(H72:H74)</f>
        <v>45858081.37</v>
      </c>
    </row>
    <row r="72" spans="1:8" ht="75" customHeight="1">
      <c r="A72" s="131" t="s">
        <v>264</v>
      </c>
      <c r="B72" s="136" t="s">
        <v>383</v>
      </c>
      <c r="C72" s="136" t="s">
        <v>410</v>
      </c>
      <c r="D72" s="139">
        <v>9910022001</v>
      </c>
      <c r="E72" s="136" t="s">
        <v>299</v>
      </c>
      <c r="F72" s="137">
        <f>30038319+36000+45500+1469302+30000+18000+574150+9082444+822723.9-6650+537025.54-95782.62+996587</f>
        <v>43547618.82</v>
      </c>
      <c r="G72" s="137">
        <f>30038319+36000+45500+1544236.4+31530+18000+603431.65+9082444</f>
        <v>41399461.05</v>
      </c>
      <c r="H72" s="137">
        <f>30038319+36000+45500+1606005.86+32854.26+18000+628775.78+9082444</f>
        <v>41487898.9</v>
      </c>
    </row>
    <row r="73" spans="1:8" ht="30" customHeight="1">
      <c r="A73" s="131" t="s">
        <v>265</v>
      </c>
      <c r="B73" s="136" t="s">
        <v>383</v>
      </c>
      <c r="C73" s="136" t="s">
        <v>410</v>
      </c>
      <c r="D73" s="139">
        <v>9910022001</v>
      </c>
      <c r="E73" s="136" t="s">
        <v>330</v>
      </c>
      <c r="F73" s="32">
        <f>158360+73631+1019600+631750+479300+12578+106309+300743+908782+372000-38500-17059.15-127596.5</f>
        <v>3879897.35</v>
      </c>
      <c r="G73" s="32">
        <f>166436.36+77386.18+1071599.6+651334.25+494158.3+13219.48+111730.76+316080.89+936954.24+383532</f>
        <v>4222432.06</v>
      </c>
      <c r="H73" s="32">
        <f>173426.69+80636.4+1116606.78+670874.28+508983.05+13774.7+116423.45+329356.29+965062.87+395037.96</f>
        <v>4370182.47</v>
      </c>
    </row>
    <row r="74" spans="1:8" ht="16.5" customHeight="1">
      <c r="A74" s="131" t="s">
        <v>267</v>
      </c>
      <c r="B74" s="136" t="s">
        <v>383</v>
      </c>
      <c r="C74" s="136" t="s">
        <v>410</v>
      </c>
      <c r="D74" s="139">
        <v>9910022001</v>
      </c>
      <c r="E74" s="136" t="s">
        <v>335</v>
      </c>
      <c r="F74" s="32">
        <f>169757.64+99025.29-4715.49</f>
        <v>264067.44</v>
      </c>
      <c r="G74" s="32">
        <v>0</v>
      </c>
      <c r="H74" s="32">
        <v>0</v>
      </c>
    </row>
    <row r="75" spans="1:8" ht="30" customHeight="1">
      <c r="A75" s="131" t="s">
        <v>388</v>
      </c>
      <c r="B75" s="136" t="s">
        <v>383</v>
      </c>
      <c r="C75" s="136" t="s">
        <v>410</v>
      </c>
      <c r="D75" s="139">
        <v>9910000000</v>
      </c>
      <c r="E75" s="140"/>
      <c r="F75" s="32">
        <f>F76+F77+F78</f>
        <v>12768758.79</v>
      </c>
      <c r="G75" s="32">
        <f>G76+G77+G78</f>
        <v>15911896.62</v>
      </c>
      <c r="H75" s="32">
        <f>H76+H77+H78</f>
        <v>16382108.76</v>
      </c>
    </row>
    <row r="76" spans="1:8" ht="75" customHeight="1">
      <c r="A76" s="131" t="s">
        <v>264</v>
      </c>
      <c r="B76" s="136" t="s">
        <v>383</v>
      </c>
      <c r="C76" s="136" t="s">
        <v>410</v>
      </c>
      <c r="D76" s="139">
        <v>9910022001</v>
      </c>
      <c r="E76" s="139">
        <v>100</v>
      </c>
      <c r="F76" s="32">
        <f>6557253+81000+11200+298801+194932+1980290+22500-1240451.13-909641.56-309906.41</f>
        <v>6685976.9</v>
      </c>
      <c r="G76" s="32">
        <f>6557253+81000+11200+50000+204873+1980290</f>
        <v>8884616</v>
      </c>
      <c r="H76" s="32">
        <f>6557253+81000+11200+310753+213068+1980290</f>
        <v>9153564</v>
      </c>
    </row>
    <row r="77" spans="1:8" ht="30" customHeight="1">
      <c r="A77" s="131" t="s">
        <v>265</v>
      </c>
      <c r="B77" s="136" t="s">
        <v>383</v>
      </c>
      <c r="C77" s="136" t="s">
        <v>410</v>
      </c>
      <c r="D77" s="139">
        <v>9910022001</v>
      </c>
      <c r="E77" s="139">
        <v>200</v>
      </c>
      <c r="F77" s="32">
        <f>150601+12600+420324.84+437076.87+7103.04+2704665.96+175457.77+11284.85+17474.87+26255.36+383180.65+957332.29+100000+207750+144480-490502.8+287999.35-291853-185865.51-101093.65</f>
        <v>4974271.89</v>
      </c>
      <c r="G77" s="32">
        <f>158282+13300+441761.41+459367.79+7465.3+2839899.26+184230.66+11849.09+18348.62+27568.13+402722.86+1006145.62+105100+214191+148958.88</f>
        <v>6039190.62</v>
      </c>
      <c r="H77" s="32">
        <f>164613+13800+459431.87+477742.5+7763.91+2953495.23+191599.89+12323.06+19082.56+28670.86+418831.78+1046391.45+109304+220617+153427.65</f>
        <v>6277094.76</v>
      </c>
    </row>
    <row r="78" spans="1:8" ht="16.5" customHeight="1">
      <c r="A78" s="131" t="s">
        <v>267</v>
      </c>
      <c r="B78" s="136" t="s">
        <v>383</v>
      </c>
      <c r="C78" s="136" t="s">
        <v>410</v>
      </c>
      <c r="D78" s="139">
        <v>9910022001</v>
      </c>
      <c r="E78" s="139">
        <v>800</v>
      </c>
      <c r="F78" s="32">
        <v>1108510</v>
      </c>
      <c r="G78" s="32">
        <v>988090</v>
      </c>
      <c r="H78" s="32">
        <v>951450</v>
      </c>
    </row>
    <row r="79" spans="1:8" ht="30" customHeight="1">
      <c r="A79" s="131" t="s">
        <v>388</v>
      </c>
      <c r="B79" s="136" t="s">
        <v>383</v>
      </c>
      <c r="C79" s="136" t="s">
        <v>410</v>
      </c>
      <c r="D79" s="139">
        <v>9910000000</v>
      </c>
      <c r="E79" s="140"/>
      <c r="F79" s="32">
        <f>SUM(F80:F83)</f>
        <v>42361195.84</v>
      </c>
      <c r="G79" s="32">
        <f>SUM(G80:G83)</f>
        <v>0</v>
      </c>
      <c r="H79" s="32">
        <f>SUM(H80:H83)</f>
        <v>0</v>
      </c>
    </row>
    <row r="80" spans="1:8" ht="75" customHeight="1">
      <c r="A80" s="131" t="s">
        <v>264</v>
      </c>
      <c r="B80" s="136" t="s">
        <v>383</v>
      </c>
      <c r="C80" s="136" t="s">
        <v>410</v>
      </c>
      <c r="D80" s="139">
        <v>9910022001</v>
      </c>
      <c r="E80" s="139">
        <v>100</v>
      </c>
      <c r="F80" s="32">
        <f>18637501.65+353633.62+124960+1700000+4996891.56+12460744.13+94200</f>
        <v>38367930.96</v>
      </c>
      <c r="G80" s="32">
        <v>0</v>
      </c>
      <c r="H80" s="32">
        <v>0</v>
      </c>
    </row>
    <row r="81" spans="1:8" ht="30" customHeight="1">
      <c r="A81" s="131" t="s">
        <v>265</v>
      </c>
      <c r="B81" s="136" t="s">
        <v>383</v>
      </c>
      <c r="C81" s="136" t="s">
        <v>410</v>
      </c>
      <c r="D81" s="139">
        <v>9910022001</v>
      </c>
      <c r="E81" s="139">
        <v>200</v>
      </c>
      <c r="F81" s="32">
        <f>117500+385400+2731299+842265.88+10000-94200</f>
        <v>3992264.88</v>
      </c>
      <c r="G81" s="32">
        <v>0</v>
      </c>
      <c r="H81" s="32">
        <v>0</v>
      </c>
    </row>
    <row r="82" spans="1:8" ht="9" customHeight="1" hidden="1">
      <c r="A82" s="140"/>
      <c r="B82" s="136"/>
      <c r="C82" s="136"/>
      <c r="D82" s="140"/>
      <c r="E82" s="140"/>
      <c r="F82" s="32"/>
      <c r="G82" s="32"/>
      <c r="H82" s="32"/>
    </row>
    <row r="83" spans="1:8" ht="16.5" customHeight="1">
      <c r="A83" s="131" t="s">
        <v>267</v>
      </c>
      <c r="B83" s="136" t="s">
        <v>383</v>
      </c>
      <c r="C83" s="136" t="s">
        <v>410</v>
      </c>
      <c r="D83" s="139">
        <v>9910022001</v>
      </c>
      <c r="E83" s="139">
        <v>800</v>
      </c>
      <c r="F83" s="32">
        <v>1000</v>
      </c>
      <c r="G83" s="32">
        <v>0</v>
      </c>
      <c r="H83" s="32">
        <v>0</v>
      </c>
    </row>
    <row r="84" spans="1:8" ht="16.5" customHeight="1">
      <c r="A84" s="131" t="s">
        <v>406</v>
      </c>
      <c r="B84" s="136" t="s">
        <v>383</v>
      </c>
      <c r="C84" s="136" t="s">
        <v>410</v>
      </c>
      <c r="D84" s="136" t="s">
        <v>407</v>
      </c>
      <c r="E84" s="136"/>
      <c r="F84" s="137">
        <f>F87+F93+F91+F95+F85</f>
        <v>85303884.79</v>
      </c>
      <c r="G84" s="137">
        <f>G87+G93+G91+G95+G85</f>
        <v>5636486.75</v>
      </c>
      <c r="H84" s="137">
        <f>H87+H93+H91+H95+H85</f>
        <v>5852751.02</v>
      </c>
    </row>
    <row r="85" spans="1:8" ht="45" customHeight="1">
      <c r="A85" s="131" t="s">
        <v>418</v>
      </c>
      <c r="B85" s="136" t="s">
        <v>383</v>
      </c>
      <c r="C85" s="136" t="s">
        <v>410</v>
      </c>
      <c r="D85" s="136" t="s">
        <v>419</v>
      </c>
      <c r="E85" s="136"/>
      <c r="F85" s="137">
        <f>F86</f>
        <v>19204762.65</v>
      </c>
      <c r="G85" s="137">
        <f>G86</f>
        <v>0</v>
      </c>
      <c r="H85" s="137">
        <f>H86</f>
        <v>0</v>
      </c>
    </row>
    <row r="86" spans="1:8" ht="16.5" customHeight="1">
      <c r="A86" s="131" t="s">
        <v>267</v>
      </c>
      <c r="B86" s="136" t="s">
        <v>383</v>
      </c>
      <c r="C86" s="136" t="s">
        <v>410</v>
      </c>
      <c r="D86" s="136" t="s">
        <v>419</v>
      </c>
      <c r="E86" s="136" t="s">
        <v>306</v>
      </c>
      <c r="F86" s="137">
        <f>10474+22250+1358855.99+5985000+11828182.66</f>
        <v>19204762.65</v>
      </c>
      <c r="G86" s="137"/>
      <c r="H86" s="137"/>
    </row>
    <row r="87" spans="1:8" ht="30" customHeight="1">
      <c r="A87" s="131" t="s">
        <v>408</v>
      </c>
      <c r="B87" s="136" t="s">
        <v>383</v>
      </c>
      <c r="C87" s="136" t="s">
        <v>410</v>
      </c>
      <c r="D87" s="136" t="s">
        <v>409</v>
      </c>
      <c r="E87" s="136"/>
      <c r="F87" s="137">
        <f>F88+F90+F89</f>
        <v>61567669.39</v>
      </c>
      <c r="G87" s="137">
        <f>G88</f>
        <v>5406606.75</v>
      </c>
      <c r="H87" s="137">
        <f>H88</f>
        <v>5622871.02</v>
      </c>
    </row>
    <row r="88" spans="1:8" ht="30" customHeight="1">
      <c r="A88" s="131" t="s">
        <v>265</v>
      </c>
      <c r="B88" s="136" t="s">
        <v>383</v>
      </c>
      <c r="C88" s="136" t="s">
        <v>410</v>
      </c>
      <c r="D88" s="136" t="s">
        <v>409</v>
      </c>
      <c r="E88" s="136" t="s">
        <v>330</v>
      </c>
      <c r="F88" s="32">
        <f>4161000+683250+300000+201600+1768632+4043.6+700000-1768632+37154.6+583866.67+1500000-183535-1559223-300000-350000-300000</f>
        <v>5478156.87</v>
      </c>
      <c r="G88" s="32">
        <f>4373211+1033395.75</f>
        <v>5406606.75</v>
      </c>
      <c r="H88" s="32">
        <f>4548139.44+1074731.58</f>
        <v>5622871.02</v>
      </c>
    </row>
    <row r="89" spans="1:8" ht="45" customHeight="1">
      <c r="A89" s="131" t="s">
        <v>274</v>
      </c>
      <c r="B89" s="136" t="s">
        <v>383</v>
      </c>
      <c r="C89" s="136" t="s">
        <v>410</v>
      </c>
      <c r="D89" s="136" t="s">
        <v>409</v>
      </c>
      <c r="E89" s="136" t="s">
        <v>417</v>
      </c>
      <c r="F89" s="32">
        <f>389745.65+9791450.3+1248717.17+1245751+1353258.32+6734269.52+3595927.95+1166583.6+468368.76+435039.6+183577.2+52885.2+1659914.4+18191666.65+2276600+673522.8-183577.2+3429000</f>
        <v>52712700.92</v>
      </c>
      <c r="G89" s="32">
        <v>0</v>
      </c>
      <c r="H89" s="32">
        <v>0</v>
      </c>
    </row>
    <row r="90" spans="1:8" ht="16.5" customHeight="1">
      <c r="A90" s="131" t="s">
        <v>267</v>
      </c>
      <c r="B90" s="136" t="s">
        <v>383</v>
      </c>
      <c r="C90" s="136" t="s">
        <v>410</v>
      </c>
      <c r="D90" s="136" t="s">
        <v>409</v>
      </c>
      <c r="E90" s="136" t="s">
        <v>306</v>
      </c>
      <c r="F90" s="32">
        <f>1000000+1376811.6+1000000</f>
        <v>3376811.6</v>
      </c>
      <c r="G90" s="32">
        <v>0</v>
      </c>
      <c r="H90" s="32">
        <v>0</v>
      </c>
    </row>
    <row r="91" spans="1:8" ht="30" customHeight="1">
      <c r="A91" s="131" t="s">
        <v>408</v>
      </c>
      <c r="B91" s="136" t="s">
        <v>383</v>
      </c>
      <c r="C91" s="136" t="s">
        <v>410</v>
      </c>
      <c r="D91" s="136" t="s">
        <v>409</v>
      </c>
      <c r="E91" s="136"/>
      <c r="F91" s="32">
        <f>F92</f>
        <v>2342000</v>
      </c>
      <c r="G91" s="32">
        <f>G92</f>
        <v>0</v>
      </c>
      <c r="H91" s="32">
        <f>H92</f>
        <v>0</v>
      </c>
    </row>
    <row r="92" spans="1:8" ht="30" customHeight="1">
      <c r="A92" s="131" t="s">
        <v>265</v>
      </c>
      <c r="B92" s="136" t="s">
        <v>383</v>
      </c>
      <c r="C92" s="136" t="s">
        <v>410</v>
      </c>
      <c r="D92" s="136" t="s">
        <v>409</v>
      </c>
      <c r="E92" s="136" t="s">
        <v>330</v>
      </c>
      <c r="F92" s="32">
        <v>2342000</v>
      </c>
      <c r="G92" s="32">
        <v>0</v>
      </c>
      <c r="H92" s="32">
        <v>0</v>
      </c>
    </row>
    <row r="93" spans="1:8" ht="30" customHeight="1">
      <c r="A93" s="131" t="s">
        <v>408</v>
      </c>
      <c r="B93" s="136" t="s">
        <v>383</v>
      </c>
      <c r="C93" s="136" t="s">
        <v>410</v>
      </c>
      <c r="D93" s="136" t="s">
        <v>409</v>
      </c>
      <c r="E93" s="136"/>
      <c r="F93" s="137">
        <f>F94</f>
        <v>1220779.31</v>
      </c>
      <c r="G93" s="137">
        <f>G94</f>
        <v>229880</v>
      </c>
      <c r="H93" s="137">
        <f>H94</f>
        <v>229880</v>
      </c>
    </row>
    <row r="94" spans="1:8" ht="30" customHeight="1">
      <c r="A94" s="131" t="s">
        <v>266</v>
      </c>
      <c r="B94" s="136" t="s">
        <v>383</v>
      </c>
      <c r="C94" s="136" t="s">
        <v>410</v>
      </c>
      <c r="D94" s="136" t="s">
        <v>409</v>
      </c>
      <c r="E94" s="136" t="s">
        <v>335</v>
      </c>
      <c r="F94" s="32">
        <f>229880+1094345.31-103446</f>
        <v>1220779.31</v>
      </c>
      <c r="G94" s="32">
        <v>229880</v>
      </c>
      <c r="H94" s="32">
        <v>229880</v>
      </c>
    </row>
    <row r="95" spans="1:8" ht="30" customHeight="1">
      <c r="A95" s="131" t="s">
        <v>408</v>
      </c>
      <c r="B95" s="136" t="s">
        <v>383</v>
      </c>
      <c r="C95" s="136" t="s">
        <v>410</v>
      </c>
      <c r="D95" s="136" t="s">
        <v>409</v>
      </c>
      <c r="E95" s="136"/>
      <c r="F95" s="32">
        <f>F96</f>
        <v>968673.440000002</v>
      </c>
      <c r="G95" s="32">
        <f>G96</f>
        <v>0</v>
      </c>
      <c r="H95" s="32">
        <f>H96</f>
        <v>0</v>
      </c>
    </row>
    <row r="96" spans="1:8" ht="16.5" customHeight="1">
      <c r="A96" s="131" t="s">
        <v>267</v>
      </c>
      <c r="B96" s="136" t="s">
        <v>383</v>
      </c>
      <c r="C96" s="136" t="s">
        <v>410</v>
      </c>
      <c r="D96" s="136" t="s">
        <v>409</v>
      </c>
      <c r="E96" s="136" t="s">
        <v>306</v>
      </c>
      <c r="F96" s="32">
        <f>136000000-70151093.22-6666500-2282185.71-7531152.2-1938916.7-36496875.93-4458752.8-5505850</f>
        <v>968673.440000002</v>
      </c>
      <c r="G96" s="32">
        <v>0</v>
      </c>
      <c r="H96" s="32">
        <v>0</v>
      </c>
    </row>
    <row r="97" spans="1:8" ht="31.5" customHeight="1">
      <c r="A97" s="131" t="s">
        <v>420</v>
      </c>
      <c r="B97" s="134" t="s">
        <v>393</v>
      </c>
      <c r="C97" s="134"/>
      <c r="D97" s="132"/>
      <c r="E97" s="132"/>
      <c r="F97" s="32">
        <f>F98</f>
        <v>14186837.2</v>
      </c>
      <c r="G97" s="32">
        <f>G98</f>
        <v>13737569</v>
      </c>
      <c r="H97" s="32">
        <f>H98</f>
        <v>13917016</v>
      </c>
    </row>
    <row r="98" spans="1:8" ht="78.75" customHeight="1">
      <c r="A98" s="131" t="s">
        <v>421</v>
      </c>
      <c r="B98" s="134" t="s">
        <v>393</v>
      </c>
      <c r="C98" s="134" t="s">
        <v>422</v>
      </c>
      <c r="D98" s="132"/>
      <c r="E98" s="132"/>
      <c r="F98" s="32">
        <f>F99</f>
        <v>14186837.2</v>
      </c>
      <c r="G98" s="32">
        <f>G99</f>
        <v>13737569</v>
      </c>
      <c r="H98" s="32">
        <f>H99</f>
        <v>13917016</v>
      </c>
    </row>
    <row r="99" spans="1:8" ht="15.75" customHeight="1">
      <c r="A99" s="131" t="s">
        <v>386</v>
      </c>
      <c r="B99" s="134" t="s">
        <v>393</v>
      </c>
      <c r="C99" s="134" t="s">
        <v>422</v>
      </c>
      <c r="D99" s="138">
        <v>9900000000</v>
      </c>
      <c r="E99" s="132"/>
      <c r="F99" s="32">
        <f>F100+F105</f>
        <v>14186837.2</v>
      </c>
      <c r="G99" s="32">
        <f>G100+G105</f>
        <v>13737569</v>
      </c>
      <c r="H99" s="32">
        <f>H100+H105</f>
        <v>13917016</v>
      </c>
    </row>
    <row r="100" spans="1:8" ht="30" customHeight="1">
      <c r="A100" s="131" t="s">
        <v>388</v>
      </c>
      <c r="B100" s="136" t="s">
        <v>393</v>
      </c>
      <c r="C100" s="136" t="s">
        <v>422</v>
      </c>
      <c r="D100" s="139">
        <v>9910000000</v>
      </c>
      <c r="E100" s="140"/>
      <c r="F100" s="32">
        <f>F101</f>
        <v>12387137.2</v>
      </c>
      <c r="G100" s="32">
        <f>G101</f>
        <v>12737569</v>
      </c>
      <c r="H100" s="32">
        <f>H101</f>
        <v>12917016</v>
      </c>
    </row>
    <row r="101" spans="1:8" ht="30" customHeight="1">
      <c r="A101" s="131" t="s">
        <v>416</v>
      </c>
      <c r="B101" s="136" t="s">
        <v>393</v>
      </c>
      <c r="C101" s="136" t="s">
        <v>422</v>
      </c>
      <c r="D101" s="139">
        <v>9910022001</v>
      </c>
      <c r="E101" s="140"/>
      <c r="F101" s="32">
        <f>SUM(F102:F104)</f>
        <v>12387137.2</v>
      </c>
      <c r="G101" s="32">
        <f>SUM(G102:G104)</f>
        <v>12737569</v>
      </c>
      <c r="H101" s="32">
        <f>SUM(H102:H104)</f>
        <v>12917016</v>
      </c>
    </row>
    <row r="102" spans="1:8" ht="75" customHeight="1">
      <c r="A102" s="131" t="s">
        <v>264</v>
      </c>
      <c r="B102" s="136" t="s">
        <v>393</v>
      </c>
      <c r="C102" s="136" t="s">
        <v>422</v>
      </c>
      <c r="D102" s="139">
        <v>9910022001</v>
      </c>
      <c r="E102" s="136" t="s">
        <v>299</v>
      </c>
      <c r="F102" s="32">
        <f>7605868+16800+927000+36000+277980+2296972-672436.23</f>
        <v>10488183.77</v>
      </c>
      <c r="G102" s="32">
        <f>7605868+16800+613000+36000+277980+2296972</f>
        <v>10846620</v>
      </c>
      <c r="H102" s="32">
        <f>7605868+16800+657000+36000+277980+2296972</f>
        <v>10890620</v>
      </c>
    </row>
    <row r="103" spans="1:8" ht="30" customHeight="1">
      <c r="A103" s="131" t="s">
        <v>265</v>
      </c>
      <c r="B103" s="136" t="s">
        <v>393</v>
      </c>
      <c r="C103" s="136" t="s">
        <v>422</v>
      </c>
      <c r="D103" s="139">
        <v>9910022001</v>
      </c>
      <c r="E103" s="136" t="s">
        <v>330</v>
      </c>
      <c r="F103" s="32">
        <f>455000+91512+230102+50000+35394+56548+27255+34930+215603+10000+626051+63303+44423-42167.57</f>
        <v>1897953.43</v>
      </c>
      <c r="G103" s="32">
        <f>474309+91512+241688+24744+59432+28644+36712+218820+10000+593024+65265+45799</f>
        <v>1889949</v>
      </c>
      <c r="H103" s="32">
        <f>493194+91512+251277+25486+61810+33769+38180+221473+10000+684298+67223+47174</f>
        <v>2025396</v>
      </c>
    </row>
    <row r="104" spans="1:8" ht="16.5" customHeight="1">
      <c r="A104" s="131" t="s">
        <v>267</v>
      </c>
      <c r="B104" s="136" t="s">
        <v>393</v>
      </c>
      <c r="C104" s="136" t="s">
        <v>422</v>
      </c>
      <c r="D104" s="139">
        <v>9910022001</v>
      </c>
      <c r="E104" s="139">
        <v>800</v>
      </c>
      <c r="F104" s="32">
        <v>1000</v>
      </c>
      <c r="G104" s="32">
        <v>1000</v>
      </c>
      <c r="H104" s="32">
        <v>1000</v>
      </c>
    </row>
    <row r="105" spans="1:8" ht="16.5" customHeight="1">
      <c r="A105" s="131" t="s">
        <v>406</v>
      </c>
      <c r="B105" s="136" t="s">
        <v>393</v>
      </c>
      <c r="C105" s="136" t="s">
        <v>422</v>
      </c>
      <c r="D105" s="139">
        <v>9950000000</v>
      </c>
      <c r="E105" s="140"/>
      <c r="F105" s="32">
        <f>F106</f>
        <v>1799700</v>
      </c>
      <c r="G105" s="32">
        <f>G106</f>
        <v>1000000</v>
      </c>
      <c r="H105" s="32">
        <f>H106</f>
        <v>1000000</v>
      </c>
    </row>
    <row r="106" spans="1:8" ht="45" customHeight="1">
      <c r="A106" s="131" t="s">
        <v>423</v>
      </c>
      <c r="B106" s="136" t="s">
        <v>393</v>
      </c>
      <c r="C106" s="136" t="s">
        <v>422</v>
      </c>
      <c r="D106" s="136" t="s">
        <v>424</v>
      </c>
      <c r="E106" s="140"/>
      <c r="F106" s="32">
        <f>F107</f>
        <v>1799700</v>
      </c>
      <c r="G106" s="32">
        <f>G107</f>
        <v>1000000</v>
      </c>
      <c r="H106" s="32">
        <f>H107</f>
        <v>1000000</v>
      </c>
    </row>
    <row r="107" spans="1:8" ht="30" customHeight="1">
      <c r="A107" s="131" t="s">
        <v>265</v>
      </c>
      <c r="B107" s="136" t="s">
        <v>393</v>
      </c>
      <c r="C107" s="136" t="s">
        <v>422</v>
      </c>
      <c r="D107" s="136" t="s">
        <v>424</v>
      </c>
      <c r="E107" s="139">
        <v>200</v>
      </c>
      <c r="F107" s="32">
        <f>1500000+221400+78300</f>
        <v>1799700</v>
      </c>
      <c r="G107" s="32">
        <v>1000000</v>
      </c>
      <c r="H107" s="32">
        <v>1000000</v>
      </c>
    </row>
    <row r="108" spans="1:8" ht="15.75" customHeight="1">
      <c r="A108" s="87" t="s">
        <v>425</v>
      </c>
      <c r="B108" s="134" t="s">
        <v>397</v>
      </c>
      <c r="C108" s="134"/>
      <c r="D108" s="134"/>
      <c r="E108" s="132"/>
      <c r="F108" s="141">
        <f>F109+F114+F122</f>
        <v>26304995.32</v>
      </c>
      <c r="G108" s="141">
        <f>G109+G114+G122</f>
        <v>6334221.11</v>
      </c>
      <c r="H108" s="141">
        <f>H109+H114+H122</f>
        <v>6334221.11</v>
      </c>
    </row>
    <row r="109" spans="1:8" ht="15.75" customHeight="1">
      <c r="A109" s="87" t="s">
        <v>426</v>
      </c>
      <c r="B109" s="134" t="s">
        <v>397</v>
      </c>
      <c r="C109" s="134" t="s">
        <v>383</v>
      </c>
      <c r="D109" s="134"/>
      <c r="E109" s="132"/>
      <c r="F109" s="141">
        <f>F110</f>
        <v>945563.9</v>
      </c>
      <c r="G109" s="141">
        <f>G110</f>
        <v>828848.24</v>
      </c>
      <c r="H109" s="141">
        <f>H110</f>
        <v>828848.24</v>
      </c>
    </row>
    <row r="110" spans="1:8" ht="15.75" customHeight="1">
      <c r="A110" s="87" t="s">
        <v>386</v>
      </c>
      <c r="B110" s="134" t="s">
        <v>397</v>
      </c>
      <c r="C110" s="134" t="s">
        <v>383</v>
      </c>
      <c r="D110" s="142">
        <v>9900000000</v>
      </c>
      <c r="E110" s="132"/>
      <c r="F110" s="141">
        <f>F111</f>
        <v>945563.9</v>
      </c>
      <c r="G110" s="141">
        <f>G111</f>
        <v>828848.24</v>
      </c>
      <c r="H110" s="141">
        <f>H111</f>
        <v>828848.24</v>
      </c>
    </row>
    <row r="111" spans="1:8" ht="30" customHeight="1">
      <c r="A111" s="131" t="s">
        <v>388</v>
      </c>
      <c r="B111" s="136" t="s">
        <v>397</v>
      </c>
      <c r="C111" s="136" t="s">
        <v>383</v>
      </c>
      <c r="D111" s="136" t="s">
        <v>389</v>
      </c>
      <c r="E111" s="140"/>
      <c r="F111" s="32">
        <f>F112</f>
        <v>945563.9</v>
      </c>
      <c r="G111" s="32">
        <f>G112</f>
        <v>828848.24</v>
      </c>
      <c r="H111" s="32">
        <f>H112</f>
        <v>828848.24</v>
      </c>
    </row>
    <row r="112" spans="1:8" ht="30" customHeight="1">
      <c r="A112" s="131" t="s">
        <v>398</v>
      </c>
      <c r="B112" s="136" t="s">
        <v>397</v>
      </c>
      <c r="C112" s="136" t="s">
        <v>383</v>
      </c>
      <c r="D112" s="136" t="s">
        <v>399</v>
      </c>
      <c r="E112" s="140"/>
      <c r="F112" s="32">
        <f>F113</f>
        <v>945563.9</v>
      </c>
      <c r="G112" s="32">
        <f>G113</f>
        <v>828848.24</v>
      </c>
      <c r="H112" s="32">
        <f>H113</f>
        <v>828848.24</v>
      </c>
    </row>
    <row r="113" spans="1:8" ht="75" customHeight="1">
      <c r="A113" s="131" t="s">
        <v>264</v>
      </c>
      <c r="B113" s="136" t="s">
        <v>397</v>
      </c>
      <c r="C113" s="136" t="s">
        <v>383</v>
      </c>
      <c r="D113" s="136" t="s">
        <v>399</v>
      </c>
      <c r="E113" s="139">
        <v>100</v>
      </c>
      <c r="F113" s="32">
        <f>636596.19+192252.05+95994.66+20721</f>
        <v>945563.9</v>
      </c>
      <c r="G113" s="32">
        <f aca="true" t="shared" si="1" ref="G113:H113">636596.19+192252.05</f>
        <v>828848.24</v>
      </c>
      <c r="H113" s="32">
        <f t="shared" si="1"/>
        <v>828848.24</v>
      </c>
    </row>
    <row r="114" spans="1:8" ht="15.75" customHeight="1">
      <c r="A114" s="87" t="s">
        <v>427</v>
      </c>
      <c r="B114" s="134" t="s">
        <v>397</v>
      </c>
      <c r="C114" s="134" t="s">
        <v>428</v>
      </c>
      <c r="D114" s="134"/>
      <c r="E114" s="132"/>
      <c r="F114" s="141">
        <f>F115</f>
        <v>11359431.42</v>
      </c>
      <c r="G114" s="141">
        <f>G115</f>
        <v>5505372.87</v>
      </c>
      <c r="H114" s="141">
        <f>H115</f>
        <v>5505372.87</v>
      </c>
    </row>
    <row r="115" spans="1:8" ht="15.75" customHeight="1">
      <c r="A115" s="87" t="s">
        <v>386</v>
      </c>
      <c r="B115" s="134" t="s">
        <v>397</v>
      </c>
      <c r="C115" s="134" t="s">
        <v>428</v>
      </c>
      <c r="D115" s="142">
        <v>9900000000</v>
      </c>
      <c r="E115" s="132"/>
      <c r="F115" s="141">
        <f>F116+F119</f>
        <v>11359431.42</v>
      </c>
      <c r="G115" s="141">
        <f>G116+G119</f>
        <v>5505372.87</v>
      </c>
      <c r="H115" s="141">
        <f>H116+H119</f>
        <v>5505372.87</v>
      </c>
    </row>
    <row r="116" spans="1:8" ht="30" customHeight="1">
      <c r="A116" s="131" t="s">
        <v>388</v>
      </c>
      <c r="B116" s="136" t="s">
        <v>397</v>
      </c>
      <c r="C116" s="136" t="s">
        <v>428</v>
      </c>
      <c r="D116" s="136" t="s">
        <v>389</v>
      </c>
      <c r="E116" s="140"/>
      <c r="F116" s="32">
        <f>F117</f>
        <v>4859431.42</v>
      </c>
      <c r="G116" s="32">
        <f>G117</f>
        <v>5505372.87</v>
      </c>
      <c r="H116" s="32">
        <f>H117</f>
        <v>5505372.87</v>
      </c>
    </row>
    <row r="117" spans="1:8" ht="30" customHeight="1">
      <c r="A117" s="131" t="s">
        <v>416</v>
      </c>
      <c r="B117" s="136" t="s">
        <v>397</v>
      </c>
      <c r="C117" s="136" t="s">
        <v>428</v>
      </c>
      <c r="D117" s="136" t="s">
        <v>429</v>
      </c>
      <c r="E117" s="140"/>
      <c r="F117" s="32">
        <f>F118</f>
        <v>4859431.42</v>
      </c>
      <c r="G117" s="32">
        <f>G118</f>
        <v>5505372.87</v>
      </c>
      <c r="H117" s="32">
        <f>H118</f>
        <v>5505372.87</v>
      </c>
    </row>
    <row r="118" spans="1:8" ht="75" customHeight="1">
      <c r="A118" s="131" t="s">
        <v>264</v>
      </c>
      <c r="B118" s="136" t="s">
        <v>397</v>
      </c>
      <c r="C118" s="136" t="s">
        <v>428</v>
      </c>
      <c r="D118" s="136" t="s">
        <v>429</v>
      </c>
      <c r="E118" s="139">
        <v>100</v>
      </c>
      <c r="F118" s="32">
        <f>5505372.87-1697666.42+825973.79+225751.18</f>
        <v>4859431.42</v>
      </c>
      <c r="G118" s="32">
        <v>5505372.87</v>
      </c>
      <c r="H118" s="32">
        <v>5505372.87</v>
      </c>
    </row>
    <row r="119" spans="1:8" ht="16.5" customHeight="1">
      <c r="A119" s="131" t="s">
        <v>406</v>
      </c>
      <c r="B119" s="136" t="s">
        <v>397</v>
      </c>
      <c r="C119" s="136" t="s">
        <v>428</v>
      </c>
      <c r="D119" s="136" t="s">
        <v>407</v>
      </c>
      <c r="E119" s="140"/>
      <c r="F119" s="32">
        <f>F120</f>
        <v>6500000</v>
      </c>
      <c r="G119" s="32">
        <f>G120</f>
        <v>0</v>
      </c>
      <c r="H119" s="32">
        <f>H120</f>
        <v>0</v>
      </c>
    </row>
    <row r="120" spans="1:8" ht="30" customHeight="1">
      <c r="A120" s="131" t="s">
        <v>408</v>
      </c>
      <c r="B120" s="136" t="s">
        <v>397</v>
      </c>
      <c r="C120" s="136" t="s">
        <v>428</v>
      </c>
      <c r="D120" s="136" t="s">
        <v>409</v>
      </c>
      <c r="E120" s="140"/>
      <c r="F120" s="32">
        <f>F121</f>
        <v>6500000</v>
      </c>
      <c r="G120" s="32">
        <f>G121</f>
        <v>0</v>
      </c>
      <c r="H120" s="32">
        <f>H121</f>
        <v>0</v>
      </c>
    </row>
    <row r="121" spans="1:8" ht="16.5" customHeight="1">
      <c r="A121" s="131" t="s">
        <v>267</v>
      </c>
      <c r="B121" s="136" t="s">
        <v>397</v>
      </c>
      <c r="C121" s="136" t="s">
        <v>428</v>
      </c>
      <c r="D121" s="136" t="s">
        <v>409</v>
      </c>
      <c r="E121" s="139">
        <v>800</v>
      </c>
      <c r="F121" s="32">
        <v>6500000</v>
      </c>
      <c r="G121" s="32">
        <v>0</v>
      </c>
      <c r="H121" s="32">
        <v>0</v>
      </c>
    </row>
    <row r="122" spans="1:8" ht="15.75" customHeight="1">
      <c r="A122" s="87" t="s">
        <v>430</v>
      </c>
      <c r="B122" s="134" t="s">
        <v>397</v>
      </c>
      <c r="C122" s="134" t="s">
        <v>422</v>
      </c>
      <c r="D122" s="134"/>
      <c r="E122" s="132"/>
      <c r="F122" s="141">
        <f>F123</f>
        <v>14000000</v>
      </c>
      <c r="G122" s="141">
        <f>G123</f>
        <v>0</v>
      </c>
      <c r="H122" s="141">
        <f>H123</f>
        <v>0</v>
      </c>
    </row>
    <row r="123" spans="1:8" ht="15.75" customHeight="1">
      <c r="A123" s="87" t="s">
        <v>386</v>
      </c>
      <c r="B123" s="134" t="s">
        <v>397</v>
      </c>
      <c r="C123" s="134" t="s">
        <v>422</v>
      </c>
      <c r="D123" s="134" t="s">
        <v>387</v>
      </c>
      <c r="E123" s="132"/>
      <c r="F123" s="141">
        <f>F124</f>
        <v>14000000</v>
      </c>
      <c r="G123" s="141">
        <f>G124</f>
        <v>0</v>
      </c>
      <c r="H123" s="141">
        <f>H124</f>
        <v>0</v>
      </c>
    </row>
    <row r="124" spans="1:8" ht="16.5" customHeight="1">
      <c r="A124" s="131" t="s">
        <v>406</v>
      </c>
      <c r="B124" s="136" t="s">
        <v>397</v>
      </c>
      <c r="C124" s="136" t="s">
        <v>422</v>
      </c>
      <c r="D124" s="136" t="s">
        <v>407</v>
      </c>
      <c r="E124" s="140"/>
      <c r="F124" s="32">
        <f>F125</f>
        <v>14000000</v>
      </c>
      <c r="G124" s="32">
        <f>G125</f>
        <v>0</v>
      </c>
      <c r="H124" s="32">
        <f>H125</f>
        <v>0</v>
      </c>
    </row>
    <row r="125" spans="1:8" ht="30" customHeight="1">
      <c r="A125" s="131" t="s">
        <v>408</v>
      </c>
      <c r="B125" s="136" t="s">
        <v>397</v>
      </c>
      <c r="C125" s="136" t="s">
        <v>422</v>
      </c>
      <c r="D125" s="136" t="s">
        <v>409</v>
      </c>
      <c r="E125" s="140"/>
      <c r="F125" s="32">
        <f>F126</f>
        <v>14000000</v>
      </c>
      <c r="G125" s="32">
        <f>G126</f>
        <v>0</v>
      </c>
      <c r="H125" s="32">
        <f>H126</f>
        <v>0</v>
      </c>
    </row>
    <row r="126" spans="1:8" ht="30" customHeight="1">
      <c r="A126" s="131" t="s">
        <v>265</v>
      </c>
      <c r="B126" s="136" t="s">
        <v>397</v>
      </c>
      <c r="C126" s="136" t="s">
        <v>422</v>
      </c>
      <c r="D126" s="136" t="s">
        <v>409</v>
      </c>
      <c r="E126" s="139">
        <v>200</v>
      </c>
      <c r="F126" s="32">
        <v>14000000</v>
      </c>
      <c r="G126" s="32">
        <v>0</v>
      </c>
      <c r="H126" s="32">
        <v>0</v>
      </c>
    </row>
    <row r="127" spans="1:8" ht="15.75" customHeight="1">
      <c r="A127" s="131" t="s">
        <v>431</v>
      </c>
      <c r="B127" s="134" t="s">
        <v>428</v>
      </c>
      <c r="C127" s="134"/>
      <c r="D127" s="134"/>
      <c r="E127" s="132"/>
      <c r="F127" s="32">
        <f>F134+F128</f>
        <v>11632236.8</v>
      </c>
      <c r="G127" s="32">
        <f>G134+G128</f>
        <v>0</v>
      </c>
      <c r="H127" s="32">
        <f>H134+H128</f>
        <v>0</v>
      </c>
    </row>
    <row r="128" spans="1:8" ht="15.75" customHeight="1">
      <c r="A128" s="131" t="s">
        <v>432</v>
      </c>
      <c r="B128" s="134" t="s">
        <v>428</v>
      </c>
      <c r="C128" s="134" t="s">
        <v>383</v>
      </c>
      <c r="D128" s="134"/>
      <c r="E128" s="132"/>
      <c r="F128" s="32">
        <f>F129</f>
        <v>1821800</v>
      </c>
      <c r="G128" s="32">
        <f>G129</f>
        <v>0</v>
      </c>
      <c r="H128" s="32">
        <f>H129</f>
        <v>0</v>
      </c>
    </row>
    <row r="129" spans="1:8" ht="15.75" customHeight="1">
      <c r="A129" s="131" t="s">
        <v>386</v>
      </c>
      <c r="B129" s="134" t="s">
        <v>428</v>
      </c>
      <c r="C129" s="134" t="s">
        <v>383</v>
      </c>
      <c r="D129" s="134" t="s">
        <v>387</v>
      </c>
      <c r="E129" s="132"/>
      <c r="F129" s="32">
        <f>F130</f>
        <v>1821800</v>
      </c>
      <c r="G129" s="32">
        <f>G130</f>
        <v>0</v>
      </c>
      <c r="H129" s="32">
        <f>H130</f>
        <v>0</v>
      </c>
    </row>
    <row r="130" spans="1:8" ht="15.75" customHeight="1">
      <c r="A130" s="71" t="s">
        <v>406</v>
      </c>
      <c r="B130" s="143" t="s">
        <v>428</v>
      </c>
      <c r="C130" s="143" t="s">
        <v>383</v>
      </c>
      <c r="D130" s="143" t="s">
        <v>407</v>
      </c>
      <c r="E130" s="144"/>
      <c r="F130" s="145">
        <f>F131</f>
        <v>1821800</v>
      </c>
      <c r="G130" s="145">
        <f>G131</f>
        <v>0</v>
      </c>
      <c r="H130" s="145">
        <f>H131</f>
        <v>0</v>
      </c>
    </row>
    <row r="131" spans="1:8" ht="30.75" customHeight="1">
      <c r="A131" s="71" t="s">
        <v>433</v>
      </c>
      <c r="B131" s="143" t="s">
        <v>428</v>
      </c>
      <c r="C131" s="143" t="s">
        <v>383</v>
      </c>
      <c r="D131" s="143" t="s">
        <v>434</v>
      </c>
      <c r="E131" s="144"/>
      <c r="F131" s="145">
        <f>F132+F133</f>
        <v>1821800</v>
      </c>
      <c r="G131" s="145">
        <f>G132+G133</f>
        <v>0</v>
      </c>
      <c r="H131" s="145">
        <f>H132+H133</f>
        <v>0</v>
      </c>
    </row>
    <row r="132" spans="1:8" ht="30.75" customHeight="1" hidden="1">
      <c r="A132" s="71" t="s">
        <v>265</v>
      </c>
      <c r="B132" s="143" t="s">
        <v>428</v>
      </c>
      <c r="C132" s="143" t="s">
        <v>383</v>
      </c>
      <c r="D132" s="143" t="s">
        <v>434</v>
      </c>
      <c r="E132" s="146">
        <v>200</v>
      </c>
      <c r="F132" s="145">
        <f>18218243-1821800-16396443</f>
        <v>0</v>
      </c>
      <c r="G132" s="145">
        <v>0</v>
      </c>
      <c r="H132" s="145">
        <v>0</v>
      </c>
    </row>
    <row r="133" spans="1:8" ht="45.75" customHeight="1">
      <c r="A133" s="71" t="s">
        <v>274</v>
      </c>
      <c r="B133" s="143" t="s">
        <v>428</v>
      </c>
      <c r="C133" s="143" t="s">
        <v>383</v>
      </c>
      <c r="D133" s="143" t="s">
        <v>434</v>
      </c>
      <c r="E133" s="146">
        <v>600</v>
      </c>
      <c r="F133" s="145">
        <v>1821800</v>
      </c>
      <c r="G133" s="145">
        <v>0</v>
      </c>
      <c r="H133" s="145">
        <v>0</v>
      </c>
    </row>
    <row r="134" spans="1:8" ht="15.75" customHeight="1">
      <c r="A134" s="131" t="s">
        <v>435</v>
      </c>
      <c r="B134" s="134" t="s">
        <v>428</v>
      </c>
      <c r="C134" s="134" t="s">
        <v>393</v>
      </c>
      <c r="D134" s="134"/>
      <c r="E134" s="132"/>
      <c r="F134" s="32">
        <f>F135</f>
        <v>9810436.8</v>
      </c>
      <c r="G134" s="32">
        <f>G135</f>
        <v>0</v>
      </c>
      <c r="H134" s="32">
        <f>H135</f>
        <v>0</v>
      </c>
    </row>
    <row r="135" spans="1:8" ht="15.75" customHeight="1">
      <c r="A135" s="131" t="s">
        <v>386</v>
      </c>
      <c r="B135" s="134" t="s">
        <v>428</v>
      </c>
      <c r="C135" s="134" t="s">
        <v>393</v>
      </c>
      <c r="D135" s="134" t="s">
        <v>387</v>
      </c>
      <c r="E135" s="132"/>
      <c r="F135" s="32">
        <f>F136</f>
        <v>9810436.8</v>
      </c>
      <c r="G135" s="32">
        <f>G136</f>
        <v>0</v>
      </c>
      <c r="H135" s="32">
        <f>H136</f>
        <v>0</v>
      </c>
    </row>
    <row r="136" spans="1:8" ht="16.5" customHeight="1">
      <c r="A136" s="131" t="s">
        <v>406</v>
      </c>
      <c r="B136" s="136" t="s">
        <v>428</v>
      </c>
      <c r="C136" s="136" t="s">
        <v>393</v>
      </c>
      <c r="D136" s="136" t="s">
        <v>407</v>
      </c>
      <c r="E136" s="140"/>
      <c r="F136" s="32">
        <f>F137</f>
        <v>9810436.8</v>
      </c>
      <c r="G136" s="32">
        <f>G137</f>
        <v>0</v>
      </c>
      <c r="H136" s="32">
        <f>H137</f>
        <v>0</v>
      </c>
    </row>
    <row r="137" spans="1:8" ht="16.5" customHeight="1">
      <c r="A137" s="131" t="s">
        <v>436</v>
      </c>
      <c r="B137" s="136" t="s">
        <v>428</v>
      </c>
      <c r="C137" s="136" t="s">
        <v>393</v>
      </c>
      <c r="D137" s="136" t="s">
        <v>437</v>
      </c>
      <c r="E137" s="140"/>
      <c r="F137" s="32">
        <f>F138</f>
        <v>9810436.8</v>
      </c>
      <c r="G137" s="32">
        <f>G138</f>
        <v>0</v>
      </c>
      <c r="H137" s="32">
        <f>H138</f>
        <v>0</v>
      </c>
    </row>
    <row r="138" spans="1:8" ht="30" customHeight="1">
      <c r="A138" s="131" t="s">
        <v>290</v>
      </c>
      <c r="B138" s="136" t="s">
        <v>428</v>
      </c>
      <c r="C138" s="136" t="s">
        <v>393</v>
      </c>
      <c r="D138" s="136" t="s">
        <v>437</v>
      </c>
      <c r="E138" s="139">
        <v>400</v>
      </c>
      <c r="F138" s="32">
        <v>9810436.8</v>
      </c>
      <c r="G138" s="32">
        <v>0</v>
      </c>
      <c r="H138" s="32">
        <v>0</v>
      </c>
    </row>
    <row r="139" spans="1:8" ht="15.75" customHeight="1">
      <c r="A139" s="131" t="s">
        <v>438</v>
      </c>
      <c r="B139" s="134" t="s">
        <v>405</v>
      </c>
      <c r="C139" s="134"/>
      <c r="D139" s="134"/>
      <c r="E139" s="132"/>
      <c r="F139" s="32">
        <f>F145+F140+F157+F152</f>
        <v>69225011.17</v>
      </c>
      <c r="G139" s="32">
        <f>G145+G140+G157</f>
        <v>0</v>
      </c>
      <c r="H139" s="32">
        <f>H145+H140+H157</f>
        <v>0</v>
      </c>
    </row>
    <row r="140" spans="1:8" ht="15.75" customHeight="1">
      <c r="A140" s="131" t="s">
        <v>439</v>
      </c>
      <c r="B140" s="134" t="s">
        <v>405</v>
      </c>
      <c r="C140" s="134" t="s">
        <v>383</v>
      </c>
      <c r="D140" s="134"/>
      <c r="E140" s="132"/>
      <c r="F140" s="32">
        <f>F141</f>
        <v>16891805.13</v>
      </c>
      <c r="G140" s="32">
        <f>G141</f>
        <v>0</v>
      </c>
      <c r="H140" s="32">
        <f>H141</f>
        <v>0</v>
      </c>
    </row>
    <row r="141" spans="1:8" ht="15.75" customHeight="1">
      <c r="A141" s="131" t="s">
        <v>386</v>
      </c>
      <c r="B141" s="134" t="s">
        <v>405</v>
      </c>
      <c r="C141" s="134" t="s">
        <v>383</v>
      </c>
      <c r="D141" s="134" t="s">
        <v>387</v>
      </c>
      <c r="E141" s="132"/>
      <c r="F141" s="32">
        <f>F142</f>
        <v>16891805.13</v>
      </c>
      <c r="G141" s="32">
        <f>G142</f>
        <v>0</v>
      </c>
      <c r="H141" s="32">
        <f>H142</f>
        <v>0</v>
      </c>
    </row>
    <row r="142" spans="1:8" ht="15.75" customHeight="1">
      <c r="A142" s="71" t="s">
        <v>406</v>
      </c>
      <c r="B142" s="143" t="s">
        <v>405</v>
      </c>
      <c r="C142" s="143" t="s">
        <v>383</v>
      </c>
      <c r="D142" s="143" t="s">
        <v>407</v>
      </c>
      <c r="E142" s="144"/>
      <c r="F142" s="145">
        <f>F143</f>
        <v>16891805.13</v>
      </c>
      <c r="G142" s="145">
        <f>G143</f>
        <v>0</v>
      </c>
      <c r="H142" s="145">
        <f>H143</f>
        <v>0</v>
      </c>
    </row>
    <row r="143" spans="1:8" ht="30.75" customHeight="1">
      <c r="A143" s="71" t="s">
        <v>408</v>
      </c>
      <c r="B143" s="143" t="s">
        <v>405</v>
      </c>
      <c r="C143" s="143" t="s">
        <v>383</v>
      </c>
      <c r="D143" s="143" t="s">
        <v>409</v>
      </c>
      <c r="E143" s="144"/>
      <c r="F143" s="145">
        <f>F144</f>
        <v>16891805.13</v>
      </c>
      <c r="G143" s="145">
        <f>G144</f>
        <v>0</v>
      </c>
      <c r="H143" s="145">
        <f>H144</f>
        <v>0</v>
      </c>
    </row>
    <row r="144" spans="1:8" ht="30.75" customHeight="1">
      <c r="A144" s="71" t="s">
        <v>265</v>
      </c>
      <c r="B144" s="143" t="s">
        <v>405</v>
      </c>
      <c r="C144" s="143" t="s">
        <v>383</v>
      </c>
      <c r="D144" s="143" t="s">
        <v>409</v>
      </c>
      <c r="E144" s="146">
        <v>200</v>
      </c>
      <c r="F144" s="145">
        <f>897881.6+3812906.51+10069282+2122346.75+1496552.4-1507164.13</f>
        <v>16891805.13</v>
      </c>
      <c r="G144" s="145">
        <v>0</v>
      </c>
      <c r="H144" s="145">
        <v>0</v>
      </c>
    </row>
    <row r="145" spans="1:8" ht="15.75" customHeight="1">
      <c r="A145" s="131" t="s">
        <v>440</v>
      </c>
      <c r="B145" s="134" t="s">
        <v>405</v>
      </c>
      <c r="C145" s="134" t="s">
        <v>385</v>
      </c>
      <c r="D145" s="134"/>
      <c r="E145" s="132"/>
      <c r="F145" s="32">
        <f>F146</f>
        <v>49480489.76</v>
      </c>
      <c r="G145" s="32">
        <f>G146</f>
        <v>0</v>
      </c>
      <c r="H145" s="32">
        <f>H146</f>
        <v>0</v>
      </c>
    </row>
    <row r="146" spans="1:8" ht="15.75" customHeight="1">
      <c r="A146" s="131" t="s">
        <v>386</v>
      </c>
      <c r="B146" s="134" t="s">
        <v>405</v>
      </c>
      <c r="C146" s="134" t="s">
        <v>385</v>
      </c>
      <c r="D146" s="134" t="s">
        <v>387</v>
      </c>
      <c r="E146" s="132"/>
      <c r="F146" s="32">
        <f>F147</f>
        <v>49480489.76</v>
      </c>
      <c r="G146" s="32">
        <f>G147</f>
        <v>0</v>
      </c>
      <c r="H146" s="32">
        <f>H147</f>
        <v>0</v>
      </c>
    </row>
    <row r="147" spans="1:8" ht="16.5" customHeight="1">
      <c r="A147" s="131" t="s">
        <v>406</v>
      </c>
      <c r="B147" s="136" t="s">
        <v>405</v>
      </c>
      <c r="C147" s="136" t="s">
        <v>385</v>
      </c>
      <c r="D147" s="136" t="s">
        <v>407</v>
      </c>
      <c r="E147" s="140"/>
      <c r="F147" s="32">
        <f>F148</f>
        <v>49480489.76</v>
      </c>
      <c r="G147" s="32">
        <f>G148</f>
        <v>0</v>
      </c>
      <c r="H147" s="32">
        <f>H148</f>
        <v>0</v>
      </c>
    </row>
    <row r="148" spans="1:8" ht="30" customHeight="1">
      <c r="A148" s="131" t="s">
        <v>408</v>
      </c>
      <c r="B148" s="136" t="s">
        <v>405</v>
      </c>
      <c r="C148" s="136" t="s">
        <v>385</v>
      </c>
      <c r="D148" s="136" t="s">
        <v>409</v>
      </c>
      <c r="E148" s="140"/>
      <c r="F148" s="32">
        <f>SUM(F149:F151)</f>
        <v>49480489.76</v>
      </c>
      <c r="G148" s="32">
        <f>SUM(G149:G151)</f>
        <v>0</v>
      </c>
      <c r="H148" s="32">
        <f>SUM(H149:H151)</f>
        <v>0</v>
      </c>
    </row>
    <row r="149" spans="1:8" ht="30" customHeight="1">
      <c r="A149" s="131" t="s">
        <v>265</v>
      </c>
      <c r="B149" s="136" t="s">
        <v>405</v>
      </c>
      <c r="C149" s="136" t="s">
        <v>385</v>
      </c>
      <c r="D149" s="136" t="s">
        <v>409</v>
      </c>
      <c r="E149" s="139">
        <v>200</v>
      </c>
      <c r="F149" s="32">
        <f>7153330+6212807.14+4952154.13+1065844.8+261565-7153330+183577.2+246815+344500+725926</f>
        <v>13993189.27</v>
      </c>
      <c r="G149" s="32">
        <v>0</v>
      </c>
      <c r="H149" s="32">
        <v>0</v>
      </c>
    </row>
    <row r="150" spans="1:8" ht="30" customHeight="1">
      <c r="A150" s="131" t="s">
        <v>350</v>
      </c>
      <c r="B150" s="136" t="s">
        <v>405</v>
      </c>
      <c r="C150" s="136" t="s">
        <v>385</v>
      </c>
      <c r="D150" s="136" t="s">
        <v>409</v>
      </c>
      <c r="E150" s="139">
        <v>400</v>
      </c>
      <c r="F150" s="32">
        <v>5611353.04</v>
      </c>
      <c r="G150" s="32">
        <v>0</v>
      </c>
      <c r="H150" s="32">
        <v>0</v>
      </c>
    </row>
    <row r="151" spans="1:8" ht="45" customHeight="1">
      <c r="A151" s="131" t="s">
        <v>274</v>
      </c>
      <c r="B151" s="136" t="s">
        <v>405</v>
      </c>
      <c r="C151" s="136" t="s">
        <v>385</v>
      </c>
      <c r="D151" s="136" t="s">
        <v>409</v>
      </c>
      <c r="E151" s="139">
        <v>600</v>
      </c>
      <c r="F151" s="32">
        <f>9693551.1+1863678.81+5091327.76+5425401.34+3388396.14+2369325.2+5980092.71+183535+350000-4469360.61</f>
        <v>29875947.45</v>
      </c>
      <c r="G151" s="32">
        <v>0</v>
      </c>
      <c r="H151" s="32">
        <v>0</v>
      </c>
    </row>
    <row r="152" spans="1:8" ht="15.75" customHeight="1">
      <c r="A152" s="87" t="s">
        <v>441</v>
      </c>
      <c r="B152" s="134" t="s">
        <v>405</v>
      </c>
      <c r="C152" s="134" t="s">
        <v>393</v>
      </c>
      <c r="D152" s="134"/>
      <c r="E152" s="132"/>
      <c r="F152" s="141">
        <f>F153</f>
        <v>40000</v>
      </c>
      <c r="G152" s="141">
        <f>G153</f>
        <v>0</v>
      </c>
      <c r="H152" s="141">
        <f>H153</f>
        <v>0</v>
      </c>
    </row>
    <row r="153" spans="1:8" ht="15.75" customHeight="1">
      <c r="A153" s="87" t="s">
        <v>386</v>
      </c>
      <c r="B153" s="134" t="s">
        <v>405</v>
      </c>
      <c r="C153" s="134" t="s">
        <v>393</v>
      </c>
      <c r="D153" s="134" t="s">
        <v>387</v>
      </c>
      <c r="E153" s="132"/>
      <c r="F153" s="141">
        <f>F154</f>
        <v>40000</v>
      </c>
      <c r="G153" s="141">
        <f>G154</f>
        <v>0</v>
      </c>
      <c r="H153" s="141">
        <f>H154</f>
        <v>0</v>
      </c>
    </row>
    <row r="154" spans="1:8" ht="16.5" customHeight="1">
      <c r="A154" s="131" t="s">
        <v>406</v>
      </c>
      <c r="B154" s="136" t="s">
        <v>405</v>
      </c>
      <c r="C154" s="136" t="s">
        <v>393</v>
      </c>
      <c r="D154" s="136" t="s">
        <v>407</v>
      </c>
      <c r="E154" s="140"/>
      <c r="F154" s="32">
        <f>F155</f>
        <v>40000</v>
      </c>
      <c r="G154" s="32">
        <f>G155</f>
        <v>0</v>
      </c>
      <c r="H154" s="32">
        <f>H155</f>
        <v>0</v>
      </c>
    </row>
    <row r="155" spans="1:8" ht="30" customHeight="1">
      <c r="A155" s="131" t="s">
        <v>408</v>
      </c>
      <c r="B155" s="136" t="s">
        <v>405</v>
      </c>
      <c r="C155" s="136" t="s">
        <v>393</v>
      </c>
      <c r="D155" s="136" t="s">
        <v>409</v>
      </c>
      <c r="E155" s="140"/>
      <c r="F155" s="32">
        <f>F156</f>
        <v>40000</v>
      </c>
      <c r="G155" s="32">
        <f>G156</f>
        <v>0</v>
      </c>
      <c r="H155" s="32">
        <f>H156</f>
        <v>0</v>
      </c>
    </row>
    <row r="156" spans="1:8" ht="30" customHeight="1">
      <c r="A156" s="131" t="s">
        <v>265</v>
      </c>
      <c r="B156" s="136" t="s">
        <v>405</v>
      </c>
      <c r="C156" s="136" t="s">
        <v>393</v>
      </c>
      <c r="D156" s="136" t="s">
        <v>409</v>
      </c>
      <c r="E156" s="139">
        <v>200</v>
      </c>
      <c r="F156" s="32">
        <v>40000</v>
      </c>
      <c r="G156" s="32">
        <v>0</v>
      </c>
      <c r="H156" s="32">
        <v>0</v>
      </c>
    </row>
    <row r="157" spans="1:8" ht="21" customHeight="1">
      <c r="A157" s="87" t="s">
        <v>442</v>
      </c>
      <c r="B157" s="134" t="s">
        <v>405</v>
      </c>
      <c r="C157" s="134" t="s">
        <v>443</v>
      </c>
      <c r="D157" s="134"/>
      <c r="E157" s="132"/>
      <c r="F157" s="141">
        <f>F158</f>
        <v>2812716.28</v>
      </c>
      <c r="G157" s="141">
        <f>G158</f>
        <v>0</v>
      </c>
      <c r="H157" s="141">
        <f>H158</f>
        <v>0</v>
      </c>
    </row>
    <row r="158" spans="1:8" ht="15.75" customHeight="1">
      <c r="A158" s="87" t="s">
        <v>386</v>
      </c>
      <c r="B158" s="134" t="s">
        <v>405</v>
      </c>
      <c r="C158" s="134" t="s">
        <v>443</v>
      </c>
      <c r="D158" s="134" t="s">
        <v>387</v>
      </c>
      <c r="E158" s="132"/>
      <c r="F158" s="141">
        <f>F159</f>
        <v>2812716.28</v>
      </c>
      <c r="G158" s="141">
        <f>G159</f>
        <v>0</v>
      </c>
      <c r="H158" s="141">
        <f>H159</f>
        <v>0</v>
      </c>
    </row>
    <row r="159" spans="1:8" ht="16.5" customHeight="1">
      <c r="A159" s="131" t="s">
        <v>406</v>
      </c>
      <c r="B159" s="136" t="s">
        <v>405</v>
      </c>
      <c r="C159" s="136" t="s">
        <v>443</v>
      </c>
      <c r="D159" s="136" t="s">
        <v>407</v>
      </c>
      <c r="E159" s="140"/>
      <c r="F159" s="32">
        <f>F160</f>
        <v>2812716.28</v>
      </c>
      <c r="G159" s="32">
        <f>G160</f>
        <v>0</v>
      </c>
      <c r="H159" s="32">
        <f>H160</f>
        <v>0</v>
      </c>
    </row>
    <row r="160" spans="1:8" ht="30" customHeight="1">
      <c r="A160" s="131" t="s">
        <v>408</v>
      </c>
      <c r="B160" s="136" t="s">
        <v>405</v>
      </c>
      <c r="C160" s="136" t="s">
        <v>443</v>
      </c>
      <c r="D160" s="136" t="s">
        <v>409</v>
      </c>
      <c r="E160" s="140"/>
      <c r="F160" s="32">
        <f>F161</f>
        <v>2812716.28</v>
      </c>
      <c r="G160" s="32">
        <f>G161</f>
        <v>0</v>
      </c>
      <c r="H160" s="32">
        <f>H161</f>
        <v>0</v>
      </c>
    </row>
    <row r="161" spans="1:8" ht="30" customHeight="1">
      <c r="A161" s="131" t="s">
        <v>265</v>
      </c>
      <c r="B161" s="136" t="s">
        <v>405</v>
      </c>
      <c r="C161" s="136" t="s">
        <v>443</v>
      </c>
      <c r="D161" s="136" t="s">
        <v>409</v>
      </c>
      <c r="E161" s="139">
        <v>200</v>
      </c>
      <c r="F161" s="32">
        <f>1253455.23+1559261.05</f>
        <v>2812716.28</v>
      </c>
      <c r="G161" s="32">
        <v>0</v>
      </c>
      <c r="H161" s="32">
        <v>0</v>
      </c>
    </row>
    <row r="162" spans="1:8" ht="15.75" customHeight="1">
      <c r="A162" s="87" t="s">
        <v>444</v>
      </c>
      <c r="B162" s="134" t="s">
        <v>445</v>
      </c>
      <c r="C162" s="134"/>
      <c r="D162" s="136"/>
      <c r="E162" s="140"/>
      <c r="F162" s="141">
        <f>F163</f>
        <v>295195</v>
      </c>
      <c r="G162" s="141">
        <f>G163</f>
        <v>0</v>
      </c>
      <c r="H162" s="141">
        <f>H163</f>
        <v>0</v>
      </c>
    </row>
    <row r="163" spans="1:8" ht="15.75" customHeight="1">
      <c r="A163" s="87" t="s">
        <v>446</v>
      </c>
      <c r="B163" s="134" t="s">
        <v>445</v>
      </c>
      <c r="C163" s="134" t="s">
        <v>383</v>
      </c>
      <c r="D163" s="136"/>
      <c r="E163" s="140"/>
      <c r="F163" s="141">
        <f>F164</f>
        <v>295195</v>
      </c>
      <c r="G163" s="141">
        <f>G164</f>
        <v>0</v>
      </c>
      <c r="H163" s="141">
        <f>H164</f>
        <v>0</v>
      </c>
    </row>
    <row r="164" spans="1:8" ht="15.75" customHeight="1">
      <c r="A164" s="87" t="s">
        <v>386</v>
      </c>
      <c r="B164" s="134" t="s">
        <v>445</v>
      </c>
      <c r="C164" s="134" t="s">
        <v>383</v>
      </c>
      <c r="D164" s="134" t="s">
        <v>387</v>
      </c>
      <c r="E164" s="132"/>
      <c r="F164" s="141">
        <f>F165</f>
        <v>295195</v>
      </c>
      <c r="G164" s="141">
        <f>G165</f>
        <v>0</v>
      </c>
      <c r="H164" s="141">
        <f>H165</f>
        <v>0</v>
      </c>
    </row>
    <row r="165" spans="1:8" ht="16.5" customHeight="1">
      <c r="A165" s="131" t="s">
        <v>406</v>
      </c>
      <c r="B165" s="136" t="s">
        <v>445</v>
      </c>
      <c r="C165" s="136" t="s">
        <v>383</v>
      </c>
      <c r="D165" s="136" t="s">
        <v>407</v>
      </c>
      <c r="E165" s="140"/>
      <c r="F165" s="32">
        <f>F166</f>
        <v>295195</v>
      </c>
      <c r="G165" s="32">
        <f>G166</f>
        <v>0</v>
      </c>
      <c r="H165" s="32">
        <f>H166</f>
        <v>0</v>
      </c>
    </row>
    <row r="166" spans="1:8" ht="30" customHeight="1">
      <c r="A166" s="131" t="s">
        <v>408</v>
      </c>
      <c r="B166" s="136" t="s">
        <v>445</v>
      </c>
      <c r="C166" s="136" t="s">
        <v>383</v>
      </c>
      <c r="D166" s="136" t="s">
        <v>409</v>
      </c>
      <c r="E166" s="140"/>
      <c r="F166" s="32">
        <f>F167</f>
        <v>295195</v>
      </c>
      <c r="G166" s="32">
        <f>G167</f>
        <v>0</v>
      </c>
      <c r="H166" s="32">
        <f>H167</f>
        <v>0</v>
      </c>
    </row>
    <row r="167" spans="1:8" ht="30" customHeight="1">
      <c r="A167" s="131" t="s">
        <v>265</v>
      </c>
      <c r="B167" s="136" t="s">
        <v>445</v>
      </c>
      <c r="C167" s="136" t="s">
        <v>383</v>
      </c>
      <c r="D167" s="136" t="s">
        <v>409</v>
      </c>
      <c r="E167" s="139">
        <v>200</v>
      </c>
      <c r="F167" s="32">
        <v>295195</v>
      </c>
      <c r="G167" s="32">
        <v>0</v>
      </c>
      <c r="H167" s="32">
        <v>0</v>
      </c>
    </row>
    <row r="168" spans="1:8" ht="15.75" customHeight="1">
      <c r="A168" s="131" t="s">
        <v>447</v>
      </c>
      <c r="B168" s="134" t="s">
        <v>443</v>
      </c>
      <c r="C168" s="134"/>
      <c r="D168" s="134"/>
      <c r="E168" s="132"/>
      <c r="F168" s="32">
        <f>F169</f>
        <v>2768632</v>
      </c>
      <c r="G168" s="32">
        <f>G169</f>
        <v>0</v>
      </c>
      <c r="H168" s="32">
        <f>H169</f>
        <v>0</v>
      </c>
    </row>
    <row r="169" spans="1:8" ht="15.75" customHeight="1">
      <c r="A169" s="131" t="s">
        <v>448</v>
      </c>
      <c r="B169" s="134" t="s">
        <v>443</v>
      </c>
      <c r="C169" s="134" t="s">
        <v>443</v>
      </c>
      <c r="D169" s="134"/>
      <c r="E169" s="132"/>
      <c r="F169" s="32">
        <f>F170</f>
        <v>2768632</v>
      </c>
      <c r="G169" s="32">
        <f>G170</f>
        <v>0</v>
      </c>
      <c r="H169" s="32">
        <f>H170</f>
        <v>0</v>
      </c>
    </row>
    <row r="170" spans="1:8" ht="15.75" customHeight="1">
      <c r="A170" s="131" t="s">
        <v>386</v>
      </c>
      <c r="B170" s="134" t="s">
        <v>443</v>
      </c>
      <c r="C170" s="134" t="s">
        <v>443</v>
      </c>
      <c r="D170" s="134" t="s">
        <v>387</v>
      </c>
      <c r="E170" s="132"/>
      <c r="F170" s="32">
        <f>F171</f>
        <v>2768632</v>
      </c>
      <c r="G170" s="32">
        <f>G171</f>
        <v>0</v>
      </c>
      <c r="H170" s="32">
        <f>H171</f>
        <v>0</v>
      </c>
    </row>
    <row r="171" spans="1:8" ht="16.5" customHeight="1">
      <c r="A171" s="131" t="s">
        <v>406</v>
      </c>
      <c r="B171" s="136" t="s">
        <v>443</v>
      </c>
      <c r="C171" s="136" t="s">
        <v>443</v>
      </c>
      <c r="D171" s="136" t="s">
        <v>407</v>
      </c>
      <c r="E171" s="140"/>
      <c r="F171" s="32">
        <f>F172</f>
        <v>2768632</v>
      </c>
      <c r="G171" s="32">
        <f>G172</f>
        <v>0</v>
      </c>
      <c r="H171" s="32">
        <f>H172</f>
        <v>0</v>
      </c>
    </row>
    <row r="172" spans="1:8" ht="30" customHeight="1">
      <c r="A172" s="131" t="s">
        <v>408</v>
      </c>
      <c r="B172" s="136" t="s">
        <v>443</v>
      </c>
      <c r="C172" s="136" t="s">
        <v>443</v>
      </c>
      <c r="D172" s="136" t="s">
        <v>409</v>
      </c>
      <c r="E172" s="140"/>
      <c r="F172" s="32">
        <f>F173</f>
        <v>2768632</v>
      </c>
      <c r="G172" s="32">
        <f>G173</f>
        <v>0</v>
      </c>
      <c r="H172" s="32">
        <f>H173</f>
        <v>0</v>
      </c>
    </row>
    <row r="173" spans="1:8" ht="30" customHeight="1">
      <c r="A173" s="131" t="s">
        <v>265</v>
      </c>
      <c r="B173" s="136" t="s">
        <v>443</v>
      </c>
      <c r="C173" s="136" t="s">
        <v>443</v>
      </c>
      <c r="D173" s="136" t="s">
        <v>409</v>
      </c>
      <c r="E173" s="139">
        <v>200</v>
      </c>
      <c r="F173" s="32">
        <v>2768632</v>
      </c>
      <c r="G173" s="32">
        <v>0</v>
      </c>
      <c r="H173" s="32">
        <v>0</v>
      </c>
    </row>
    <row r="174" spans="1:8" ht="15.75" customHeight="1">
      <c r="A174" s="131" t="s">
        <v>449</v>
      </c>
      <c r="B174" s="134" t="s">
        <v>422</v>
      </c>
      <c r="C174" s="134"/>
      <c r="D174" s="134"/>
      <c r="E174" s="134"/>
      <c r="F174" s="135">
        <f>F175+F180+F187+F193</f>
        <v>49189438.79</v>
      </c>
      <c r="G174" s="135">
        <f>G175+G180+G187+G193</f>
        <v>16240460.03</v>
      </c>
      <c r="H174" s="135">
        <f>H175+H180+H187+H193</f>
        <v>16571435.03</v>
      </c>
    </row>
    <row r="175" spans="1:8" ht="15.75" customHeight="1">
      <c r="A175" s="131" t="s">
        <v>450</v>
      </c>
      <c r="B175" s="134" t="s">
        <v>422</v>
      </c>
      <c r="C175" s="134" t="s">
        <v>383</v>
      </c>
      <c r="D175" s="134"/>
      <c r="E175" s="134"/>
      <c r="F175" s="135">
        <f>F176</f>
        <v>3390859.18</v>
      </c>
      <c r="G175" s="135">
        <f>G176</f>
        <v>3198786.96</v>
      </c>
      <c r="H175" s="135">
        <f>H176</f>
        <v>3438786.96</v>
      </c>
    </row>
    <row r="176" spans="1:8" ht="15.75" customHeight="1">
      <c r="A176" s="131" t="s">
        <v>386</v>
      </c>
      <c r="B176" s="134" t="s">
        <v>422</v>
      </c>
      <c r="C176" s="134" t="s">
        <v>383</v>
      </c>
      <c r="D176" s="134" t="s">
        <v>387</v>
      </c>
      <c r="E176" s="134"/>
      <c r="F176" s="135">
        <f>F177</f>
        <v>3390859.18</v>
      </c>
      <c r="G176" s="135">
        <f>G177</f>
        <v>3198786.96</v>
      </c>
      <c r="H176" s="135">
        <f>H177</f>
        <v>3438786.96</v>
      </c>
    </row>
    <row r="177" spans="1:8" ht="16.5" customHeight="1">
      <c r="A177" s="131" t="s">
        <v>406</v>
      </c>
      <c r="B177" s="136" t="s">
        <v>422</v>
      </c>
      <c r="C177" s="136" t="s">
        <v>383</v>
      </c>
      <c r="D177" s="136" t="s">
        <v>407</v>
      </c>
      <c r="E177" s="136"/>
      <c r="F177" s="137">
        <f>F178</f>
        <v>3390859.18</v>
      </c>
      <c r="G177" s="137">
        <f>G178</f>
        <v>3198786.96</v>
      </c>
      <c r="H177" s="137">
        <f>H178</f>
        <v>3438786.96</v>
      </c>
    </row>
    <row r="178" spans="1:8" ht="45" customHeight="1">
      <c r="A178" s="147" t="s">
        <v>451</v>
      </c>
      <c r="B178" s="136" t="s">
        <v>422</v>
      </c>
      <c r="C178" s="136" t="s">
        <v>383</v>
      </c>
      <c r="D178" s="148">
        <v>9950071020</v>
      </c>
      <c r="E178" s="136"/>
      <c r="F178" s="137">
        <f>F179</f>
        <v>3390859.18</v>
      </c>
      <c r="G178" s="137">
        <f>G179</f>
        <v>3198786.96</v>
      </c>
      <c r="H178" s="137">
        <f>H179</f>
        <v>3438786.96</v>
      </c>
    </row>
    <row r="179" spans="1:8" ht="30" customHeight="1">
      <c r="A179" s="131" t="s">
        <v>266</v>
      </c>
      <c r="B179" s="136" t="s">
        <v>422</v>
      </c>
      <c r="C179" s="136" t="s">
        <v>383</v>
      </c>
      <c r="D179" s="148">
        <v>9950071020</v>
      </c>
      <c r="E179" s="136" t="s">
        <v>335</v>
      </c>
      <c r="F179" s="32">
        <f>3018786.96+354278.04+17794.18</f>
        <v>3390859.18</v>
      </c>
      <c r="G179" s="32">
        <v>3198786.96</v>
      </c>
      <c r="H179" s="32">
        <v>3438786.96</v>
      </c>
    </row>
    <row r="180" spans="1:8" ht="15.75" customHeight="1">
      <c r="A180" s="87" t="s">
        <v>452</v>
      </c>
      <c r="B180" s="134" t="s">
        <v>422</v>
      </c>
      <c r="C180" s="134" t="s">
        <v>393</v>
      </c>
      <c r="D180" s="134"/>
      <c r="E180" s="134"/>
      <c r="F180" s="135">
        <f>F181</f>
        <v>25809207.42</v>
      </c>
      <c r="G180" s="135">
        <f>G181</f>
        <v>0</v>
      </c>
      <c r="H180" s="135">
        <f>H181</f>
        <v>0</v>
      </c>
    </row>
    <row r="181" spans="1:8" ht="15.75" customHeight="1">
      <c r="A181" s="87" t="s">
        <v>386</v>
      </c>
      <c r="B181" s="134" t="s">
        <v>422</v>
      </c>
      <c r="C181" s="134" t="s">
        <v>393</v>
      </c>
      <c r="D181" s="134" t="s">
        <v>387</v>
      </c>
      <c r="E181" s="134"/>
      <c r="F181" s="135">
        <f>F182</f>
        <v>25809207.42</v>
      </c>
      <c r="G181" s="135">
        <f>G182</f>
        <v>0</v>
      </c>
      <c r="H181" s="135">
        <f>H182</f>
        <v>0</v>
      </c>
    </row>
    <row r="182" spans="1:8" ht="16.5" customHeight="1">
      <c r="A182" s="131" t="s">
        <v>406</v>
      </c>
      <c r="B182" s="136" t="s">
        <v>422</v>
      </c>
      <c r="C182" s="136" t="s">
        <v>393</v>
      </c>
      <c r="D182" s="136" t="s">
        <v>407</v>
      </c>
      <c r="E182" s="136"/>
      <c r="F182" s="137">
        <f>F183+F185</f>
        <v>25809207.42</v>
      </c>
      <c r="G182" s="137">
        <f>G183+G185</f>
        <v>0</v>
      </c>
      <c r="H182" s="137">
        <f>H183+H185</f>
        <v>0</v>
      </c>
    </row>
    <row r="183" spans="1:8" ht="30" customHeight="1">
      <c r="A183" s="131" t="s">
        <v>453</v>
      </c>
      <c r="B183" s="136" t="s">
        <v>422</v>
      </c>
      <c r="C183" s="136" t="s">
        <v>393</v>
      </c>
      <c r="D183" s="136" t="s">
        <v>454</v>
      </c>
      <c r="E183" s="136"/>
      <c r="F183" s="137">
        <f>F184</f>
        <v>25802216.64</v>
      </c>
      <c r="G183" s="137">
        <f>G184</f>
        <v>0</v>
      </c>
      <c r="H183" s="137">
        <f>H184</f>
        <v>0</v>
      </c>
    </row>
    <row r="184" spans="1:8" ht="30" customHeight="1">
      <c r="A184" s="131" t="s">
        <v>290</v>
      </c>
      <c r="B184" s="136" t="s">
        <v>422</v>
      </c>
      <c r="C184" s="136" t="s">
        <v>393</v>
      </c>
      <c r="D184" s="136" t="s">
        <v>454</v>
      </c>
      <c r="E184" s="136" t="s">
        <v>344</v>
      </c>
      <c r="F184" s="32">
        <f>43549572.5-17747355.86</f>
        <v>25802216.64</v>
      </c>
      <c r="G184" s="32">
        <v>0</v>
      </c>
      <c r="H184" s="32">
        <v>0</v>
      </c>
    </row>
    <row r="185" spans="1:8" ht="30" customHeight="1">
      <c r="A185" s="131" t="s">
        <v>408</v>
      </c>
      <c r="B185" s="136" t="s">
        <v>422</v>
      </c>
      <c r="C185" s="136" t="s">
        <v>393</v>
      </c>
      <c r="D185" s="136" t="s">
        <v>409</v>
      </c>
      <c r="E185" s="140"/>
      <c r="F185" s="32">
        <f>F186</f>
        <v>6990.78</v>
      </c>
      <c r="G185" s="32">
        <f>G186</f>
        <v>0</v>
      </c>
      <c r="H185" s="32">
        <f>H186</f>
        <v>0</v>
      </c>
    </row>
    <row r="186" spans="1:8" ht="30" customHeight="1">
      <c r="A186" s="131" t="s">
        <v>265</v>
      </c>
      <c r="B186" s="136" t="s">
        <v>422</v>
      </c>
      <c r="C186" s="136" t="s">
        <v>393</v>
      </c>
      <c r="D186" s="136" t="s">
        <v>409</v>
      </c>
      <c r="E186" s="139">
        <v>200</v>
      </c>
      <c r="F186" s="32">
        <f>6990.78</f>
        <v>6990.78</v>
      </c>
      <c r="G186" s="32">
        <v>0</v>
      </c>
      <c r="H186" s="32">
        <v>0</v>
      </c>
    </row>
    <row r="187" spans="1:8" ht="15.75" customHeight="1">
      <c r="A187" s="87" t="s">
        <v>455</v>
      </c>
      <c r="B187" s="134" t="s">
        <v>422</v>
      </c>
      <c r="C187" s="134" t="s">
        <v>397</v>
      </c>
      <c r="D187" s="134"/>
      <c r="E187" s="134"/>
      <c r="F187" s="135">
        <f>F188</f>
        <v>12811899</v>
      </c>
      <c r="G187" s="135">
        <f>G188</f>
        <v>9000000</v>
      </c>
      <c r="H187" s="135">
        <f>H188</f>
        <v>9000000</v>
      </c>
    </row>
    <row r="188" spans="1:8" ht="15.75" customHeight="1">
      <c r="A188" s="87" t="s">
        <v>386</v>
      </c>
      <c r="B188" s="134" t="s">
        <v>422</v>
      </c>
      <c r="C188" s="134" t="s">
        <v>397</v>
      </c>
      <c r="D188" s="134" t="s">
        <v>387</v>
      </c>
      <c r="E188" s="134"/>
      <c r="F188" s="135">
        <f>F189</f>
        <v>12811899</v>
      </c>
      <c r="G188" s="135">
        <f>G189</f>
        <v>9000000</v>
      </c>
      <c r="H188" s="135">
        <f>H189</f>
        <v>9000000</v>
      </c>
    </row>
    <row r="189" spans="1:8" ht="16.5" customHeight="1">
      <c r="A189" s="131" t="s">
        <v>406</v>
      </c>
      <c r="B189" s="136" t="s">
        <v>422</v>
      </c>
      <c r="C189" s="136" t="s">
        <v>397</v>
      </c>
      <c r="D189" s="136" t="s">
        <v>407</v>
      </c>
      <c r="E189" s="136"/>
      <c r="F189" s="137">
        <f>F190</f>
        <v>12811899</v>
      </c>
      <c r="G189" s="137">
        <f>G190</f>
        <v>9000000</v>
      </c>
      <c r="H189" s="137">
        <f>H190</f>
        <v>9000000</v>
      </c>
    </row>
    <row r="190" spans="1:8" ht="30" customHeight="1">
      <c r="A190" s="131" t="s">
        <v>453</v>
      </c>
      <c r="B190" s="136" t="s">
        <v>422</v>
      </c>
      <c r="C190" s="136" t="s">
        <v>397</v>
      </c>
      <c r="D190" s="136" t="s">
        <v>454</v>
      </c>
      <c r="E190" s="136"/>
      <c r="F190" s="137">
        <f>SUM(F191:F192)</f>
        <v>12811899</v>
      </c>
      <c r="G190" s="137">
        <f>SUM(G191:G192)</f>
        <v>9000000</v>
      </c>
      <c r="H190" s="137">
        <f>SUM(H191:H192)</f>
        <v>9000000</v>
      </c>
    </row>
    <row r="191" spans="1:8" ht="30" customHeight="1">
      <c r="A191" s="131" t="s">
        <v>265</v>
      </c>
      <c r="B191" s="136" t="s">
        <v>422</v>
      </c>
      <c r="C191" s="136" t="s">
        <v>397</v>
      </c>
      <c r="D191" s="136" t="s">
        <v>454</v>
      </c>
      <c r="E191" s="136" t="s">
        <v>330</v>
      </c>
      <c r="F191" s="137">
        <f>131823+12899</f>
        <v>144722</v>
      </c>
      <c r="G191" s="137">
        <v>131823</v>
      </c>
      <c r="H191" s="137">
        <v>131823</v>
      </c>
    </row>
    <row r="192" spans="1:8" ht="30" customHeight="1">
      <c r="A192" s="131" t="s">
        <v>266</v>
      </c>
      <c r="B192" s="136" t="s">
        <v>422</v>
      </c>
      <c r="C192" s="136" t="s">
        <v>397</v>
      </c>
      <c r="D192" s="136" t="s">
        <v>454</v>
      </c>
      <c r="E192" s="136" t="s">
        <v>335</v>
      </c>
      <c r="F192" s="137">
        <f>8868177+3799000</f>
        <v>12667177</v>
      </c>
      <c r="G192" s="137">
        <v>8868177</v>
      </c>
      <c r="H192" s="137">
        <v>8868177</v>
      </c>
    </row>
    <row r="193" spans="1:8" ht="31.5" customHeight="1">
      <c r="A193" s="131" t="s">
        <v>456</v>
      </c>
      <c r="B193" s="134" t="s">
        <v>422</v>
      </c>
      <c r="C193" s="134" t="s">
        <v>401</v>
      </c>
      <c r="D193" s="134"/>
      <c r="E193" s="134"/>
      <c r="F193" s="135">
        <f>F194</f>
        <v>7177473.19</v>
      </c>
      <c r="G193" s="135">
        <f>G194</f>
        <v>4041673.07</v>
      </c>
      <c r="H193" s="135">
        <f>H194</f>
        <v>4132648.07</v>
      </c>
    </row>
    <row r="194" spans="1:8" ht="15.75" customHeight="1">
      <c r="A194" s="131" t="s">
        <v>386</v>
      </c>
      <c r="B194" s="134" t="s">
        <v>422</v>
      </c>
      <c r="C194" s="134" t="s">
        <v>401</v>
      </c>
      <c r="D194" s="134" t="s">
        <v>387</v>
      </c>
      <c r="E194" s="134"/>
      <c r="F194" s="135">
        <f>F195+F198</f>
        <v>7177473.19</v>
      </c>
      <c r="G194" s="135">
        <f>G195+G198</f>
        <v>4041673.07</v>
      </c>
      <c r="H194" s="135">
        <f>H195+H198</f>
        <v>4132648.07</v>
      </c>
    </row>
    <row r="195" spans="1:8" ht="30.75" customHeight="1">
      <c r="A195" s="71" t="s">
        <v>388</v>
      </c>
      <c r="B195" s="143" t="s">
        <v>422</v>
      </c>
      <c r="C195" s="143" t="s">
        <v>401</v>
      </c>
      <c r="D195" s="143" t="s">
        <v>389</v>
      </c>
      <c r="E195" s="143"/>
      <c r="F195" s="137">
        <f>F196</f>
        <v>3271220.81</v>
      </c>
      <c r="G195" s="137">
        <f>G196</f>
        <v>2798348.07</v>
      </c>
      <c r="H195" s="137">
        <f>H196</f>
        <v>2798348.07</v>
      </c>
    </row>
    <row r="196" spans="1:8" ht="30.75" customHeight="1">
      <c r="A196" s="71" t="s">
        <v>398</v>
      </c>
      <c r="B196" s="143" t="s">
        <v>422</v>
      </c>
      <c r="C196" s="143" t="s">
        <v>401</v>
      </c>
      <c r="D196" s="143" t="s">
        <v>399</v>
      </c>
      <c r="E196" s="143"/>
      <c r="F196" s="137">
        <f>F197</f>
        <v>3271220.81</v>
      </c>
      <c r="G196" s="137">
        <f>G197</f>
        <v>2798348.07</v>
      </c>
      <c r="H196" s="137">
        <f>H197</f>
        <v>2798348.07</v>
      </c>
    </row>
    <row r="197" spans="1:8" ht="75.75" customHeight="1">
      <c r="A197" s="71" t="s">
        <v>264</v>
      </c>
      <c r="B197" s="143" t="s">
        <v>422</v>
      </c>
      <c r="C197" s="143" t="s">
        <v>401</v>
      </c>
      <c r="D197" s="143" t="s">
        <v>399</v>
      </c>
      <c r="E197" s="143" t="s">
        <v>299</v>
      </c>
      <c r="F197" s="137">
        <f>2149268.87+649079.2+311338.47+83792.27+77742</f>
        <v>3271220.81</v>
      </c>
      <c r="G197" s="137">
        <f aca="true" t="shared" si="2" ref="G197:H197">2149268.87+649079.2</f>
        <v>2798348.07</v>
      </c>
      <c r="H197" s="137">
        <f t="shared" si="2"/>
        <v>2798348.07</v>
      </c>
    </row>
    <row r="198" spans="1:8" ht="16.5" customHeight="1">
      <c r="A198" s="131" t="s">
        <v>406</v>
      </c>
      <c r="B198" s="136" t="s">
        <v>422</v>
      </c>
      <c r="C198" s="136" t="s">
        <v>401</v>
      </c>
      <c r="D198" s="136" t="s">
        <v>407</v>
      </c>
      <c r="E198" s="136"/>
      <c r="F198" s="137">
        <f>F199</f>
        <v>3906252.38</v>
      </c>
      <c r="G198" s="137">
        <f>G199</f>
        <v>1243325</v>
      </c>
      <c r="H198" s="137">
        <f>H199</f>
        <v>1334300</v>
      </c>
    </row>
    <row r="199" spans="1:8" ht="30" customHeight="1">
      <c r="A199" s="131" t="s">
        <v>453</v>
      </c>
      <c r="B199" s="136" t="s">
        <v>422</v>
      </c>
      <c r="C199" s="136" t="s">
        <v>401</v>
      </c>
      <c r="D199" s="136" t="s">
        <v>454</v>
      </c>
      <c r="E199" s="136"/>
      <c r="F199" s="137">
        <f>F200+F201</f>
        <v>3906252.38</v>
      </c>
      <c r="G199" s="137">
        <f>G200+G201</f>
        <v>1243325</v>
      </c>
      <c r="H199" s="137">
        <f>H200+H201</f>
        <v>1334300</v>
      </c>
    </row>
    <row r="200" spans="1:8" ht="30" customHeight="1">
      <c r="A200" s="131" t="s">
        <v>265</v>
      </c>
      <c r="B200" s="136" t="s">
        <v>422</v>
      </c>
      <c r="C200" s="136" t="s">
        <v>401</v>
      </c>
      <c r="D200" s="136" t="s">
        <v>454</v>
      </c>
      <c r="E200" s="136" t="s">
        <v>330</v>
      </c>
      <c r="F200" s="32">
        <f>2675+500+2453.16+4922.62+1296.6</f>
        <v>11847.38</v>
      </c>
      <c r="G200" s="32"/>
      <c r="H200" s="32"/>
    </row>
    <row r="201" spans="1:8" ht="32.25" customHeight="1">
      <c r="A201" s="131" t="s">
        <v>266</v>
      </c>
      <c r="B201" s="136" t="s">
        <v>422</v>
      </c>
      <c r="C201" s="136" t="s">
        <v>401</v>
      </c>
      <c r="D201" s="136" t="s">
        <v>454</v>
      </c>
      <c r="E201" s="136" t="s">
        <v>335</v>
      </c>
      <c r="F201" s="32">
        <f>1091700+60650+85540+1310+622817+634061+1100258+298069</f>
        <v>3894405</v>
      </c>
      <c r="G201" s="32">
        <f>1182675+60650</f>
        <v>1243325</v>
      </c>
      <c r="H201" s="32">
        <f>1273650+60650</f>
        <v>1334300</v>
      </c>
    </row>
    <row r="202" spans="1:8" ht="15.75" customHeight="1">
      <c r="A202" s="87" t="s">
        <v>457</v>
      </c>
      <c r="B202" s="134" t="s">
        <v>412</v>
      </c>
      <c r="C202" s="134"/>
      <c r="D202" s="134"/>
      <c r="E202" s="134"/>
      <c r="F202" s="141">
        <f>F203</f>
        <v>36895573.73</v>
      </c>
      <c r="G202" s="141">
        <f>G203</f>
        <v>0</v>
      </c>
      <c r="H202" s="141">
        <f>H203</f>
        <v>0</v>
      </c>
    </row>
    <row r="203" spans="1:8" ht="15.75" customHeight="1">
      <c r="A203" s="87" t="s">
        <v>458</v>
      </c>
      <c r="B203" s="134" t="s">
        <v>412</v>
      </c>
      <c r="C203" s="134" t="s">
        <v>383</v>
      </c>
      <c r="D203" s="134"/>
      <c r="E203" s="134"/>
      <c r="F203" s="141">
        <f>F204</f>
        <v>36895573.73</v>
      </c>
      <c r="G203" s="141">
        <f>G204</f>
        <v>0</v>
      </c>
      <c r="H203" s="141">
        <f>H204</f>
        <v>0</v>
      </c>
    </row>
    <row r="204" spans="1:8" ht="15.75" customHeight="1">
      <c r="A204" s="87" t="s">
        <v>386</v>
      </c>
      <c r="B204" s="134" t="s">
        <v>412</v>
      </c>
      <c r="C204" s="134" t="s">
        <v>383</v>
      </c>
      <c r="D204" s="134" t="s">
        <v>387</v>
      </c>
      <c r="E204" s="134"/>
      <c r="F204" s="141">
        <f>F205</f>
        <v>36895573.73</v>
      </c>
      <c r="G204" s="141">
        <f>G205</f>
        <v>0</v>
      </c>
      <c r="H204" s="141">
        <f>H205</f>
        <v>0</v>
      </c>
    </row>
    <row r="205" spans="1:8" ht="16.5" customHeight="1">
      <c r="A205" s="131" t="s">
        <v>406</v>
      </c>
      <c r="B205" s="136" t="s">
        <v>412</v>
      </c>
      <c r="C205" s="136" t="s">
        <v>383</v>
      </c>
      <c r="D205" s="136" t="s">
        <v>407</v>
      </c>
      <c r="E205" s="136"/>
      <c r="F205" s="32">
        <f>F206</f>
        <v>36895573.73</v>
      </c>
      <c r="G205" s="32">
        <f>G206</f>
        <v>0</v>
      </c>
      <c r="H205" s="32">
        <f>H206</f>
        <v>0</v>
      </c>
    </row>
    <row r="206" spans="1:8" ht="16.5" customHeight="1">
      <c r="A206" s="131" t="s">
        <v>459</v>
      </c>
      <c r="B206" s="136" t="s">
        <v>412</v>
      </c>
      <c r="C206" s="136" t="s">
        <v>383</v>
      </c>
      <c r="D206" s="136" t="s">
        <v>460</v>
      </c>
      <c r="E206" s="136"/>
      <c r="F206" s="32">
        <f>F209+F207+F208</f>
        <v>36895573.73</v>
      </c>
      <c r="G206" s="32">
        <f>G209+G207+G208</f>
        <v>0</v>
      </c>
      <c r="H206" s="32">
        <f>H209+H207+H208</f>
        <v>0</v>
      </c>
    </row>
    <row r="207" spans="1:8" ht="30" customHeight="1">
      <c r="A207" s="131" t="s">
        <v>265</v>
      </c>
      <c r="B207" s="136" t="s">
        <v>412</v>
      </c>
      <c r="C207" s="136" t="s">
        <v>383</v>
      </c>
      <c r="D207" s="136" t="s">
        <v>460</v>
      </c>
      <c r="E207" s="136" t="s">
        <v>330</v>
      </c>
      <c r="F207" s="32">
        <f>1152171.98+900000</f>
        <v>2052171.98</v>
      </c>
      <c r="G207" s="32">
        <v>0</v>
      </c>
      <c r="H207" s="32">
        <v>0</v>
      </c>
    </row>
    <row r="208" spans="1:8" ht="30" customHeight="1">
      <c r="A208" s="131" t="s">
        <v>266</v>
      </c>
      <c r="B208" s="136" t="s">
        <v>412</v>
      </c>
      <c r="C208" s="136" t="s">
        <v>383</v>
      </c>
      <c r="D208" s="136" t="s">
        <v>460</v>
      </c>
      <c r="E208" s="136" t="s">
        <v>335</v>
      </c>
      <c r="F208" s="32">
        <f>910000-70000+444117</f>
        <v>1284117</v>
      </c>
      <c r="G208" s="32">
        <v>0</v>
      </c>
      <c r="H208" s="32">
        <v>0</v>
      </c>
    </row>
    <row r="209" spans="1:8" ht="30" customHeight="1">
      <c r="A209" s="131" t="s">
        <v>290</v>
      </c>
      <c r="B209" s="136" t="s">
        <v>412</v>
      </c>
      <c r="C209" s="136" t="s">
        <v>383</v>
      </c>
      <c r="D209" s="136" t="s">
        <v>460</v>
      </c>
      <c r="E209" s="136" t="s">
        <v>344</v>
      </c>
      <c r="F209" s="32">
        <f>26574615.91+1499999.99+1279854.49+6984668.84-1152171.98-127682.51-1499999.99</f>
        <v>33559284.75</v>
      </c>
      <c r="G209" s="32">
        <v>0</v>
      </c>
      <c r="H209" s="32">
        <v>0</v>
      </c>
    </row>
    <row r="210" spans="1:8" ht="63" customHeight="1">
      <c r="A210" s="12" t="s">
        <v>461</v>
      </c>
      <c r="B210" s="134" t="s">
        <v>462</v>
      </c>
      <c r="C210" s="134"/>
      <c r="D210" s="134"/>
      <c r="E210" s="134"/>
      <c r="F210" s="13">
        <f>F211</f>
        <v>573425090.56</v>
      </c>
      <c r="G210" s="13">
        <f>G211</f>
        <v>0</v>
      </c>
      <c r="H210" s="13">
        <f>H211</f>
        <v>0</v>
      </c>
    </row>
    <row r="211" spans="1:8" ht="31.5" customHeight="1">
      <c r="A211" s="12" t="s">
        <v>463</v>
      </c>
      <c r="B211" s="134" t="s">
        <v>462</v>
      </c>
      <c r="C211" s="134" t="s">
        <v>393</v>
      </c>
      <c r="D211" s="134"/>
      <c r="E211" s="134"/>
      <c r="F211" s="13">
        <f>F212</f>
        <v>573425090.56</v>
      </c>
      <c r="G211" s="13">
        <f>G212</f>
        <v>0</v>
      </c>
      <c r="H211" s="13">
        <f>H212</f>
        <v>0</v>
      </c>
    </row>
    <row r="212" spans="1:8" ht="15.75" customHeight="1">
      <c r="A212" s="87" t="s">
        <v>386</v>
      </c>
      <c r="B212" s="134" t="s">
        <v>462</v>
      </c>
      <c r="C212" s="134" t="s">
        <v>393</v>
      </c>
      <c r="D212" s="134" t="s">
        <v>387</v>
      </c>
      <c r="E212" s="134"/>
      <c r="F212" s="13">
        <f>F213</f>
        <v>573425090.56</v>
      </c>
      <c r="G212" s="13">
        <f>G213</f>
        <v>0</v>
      </c>
      <c r="H212" s="13">
        <f>H213</f>
        <v>0</v>
      </c>
    </row>
    <row r="213" spans="1:8" ht="16.5" customHeight="1">
      <c r="A213" s="131" t="s">
        <v>464</v>
      </c>
      <c r="B213" s="136" t="s">
        <v>462</v>
      </c>
      <c r="C213" s="136" t="s">
        <v>393</v>
      </c>
      <c r="D213" s="136" t="s">
        <v>465</v>
      </c>
      <c r="E213" s="136"/>
      <c r="F213" s="16">
        <f>F214+F216</f>
        <v>573425090.56</v>
      </c>
      <c r="G213" s="16">
        <f>G214</f>
        <v>0</v>
      </c>
      <c r="H213" s="16">
        <f>H214</f>
        <v>0</v>
      </c>
    </row>
    <row r="214" spans="1:8" ht="30" customHeight="1">
      <c r="A214" s="20" t="s">
        <v>466</v>
      </c>
      <c r="B214" s="136" t="s">
        <v>462</v>
      </c>
      <c r="C214" s="136" t="s">
        <v>393</v>
      </c>
      <c r="D214" s="136" t="s">
        <v>467</v>
      </c>
      <c r="E214" s="136"/>
      <c r="F214" s="16">
        <f>F215</f>
        <v>340931000</v>
      </c>
      <c r="G214" s="16">
        <f>G215</f>
        <v>0</v>
      </c>
      <c r="H214" s="16">
        <f>H215</f>
        <v>0</v>
      </c>
    </row>
    <row r="215" spans="1:8" ht="16.5" customHeight="1">
      <c r="A215" s="20" t="s">
        <v>464</v>
      </c>
      <c r="B215" s="136" t="s">
        <v>462</v>
      </c>
      <c r="C215" s="136" t="s">
        <v>393</v>
      </c>
      <c r="D215" s="136" t="s">
        <v>467</v>
      </c>
      <c r="E215" s="136" t="s">
        <v>468</v>
      </c>
      <c r="F215" s="16">
        <v>340931000</v>
      </c>
      <c r="G215" s="32">
        <v>0</v>
      </c>
      <c r="H215" s="32">
        <v>0</v>
      </c>
    </row>
    <row r="216" spans="1:8" ht="30" customHeight="1">
      <c r="A216" s="149" t="s">
        <v>469</v>
      </c>
      <c r="B216" s="136" t="s">
        <v>462</v>
      </c>
      <c r="C216" s="136" t="s">
        <v>393</v>
      </c>
      <c r="D216" s="148">
        <v>9960088520</v>
      </c>
      <c r="E216" s="34"/>
      <c r="F216" s="32">
        <f>F217</f>
        <v>232494090.56</v>
      </c>
      <c r="G216" s="32">
        <f>G217</f>
        <v>0</v>
      </c>
      <c r="H216" s="32">
        <f>H217</f>
        <v>0</v>
      </c>
    </row>
    <row r="217" spans="1:8" ht="16.5" customHeight="1">
      <c r="A217" s="20" t="s">
        <v>464</v>
      </c>
      <c r="B217" s="136" t="s">
        <v>462</v>
      </c>
      <c r="C217" s="136" t="s">
        <v>393</v>
      </c>
      <c r="D217" s="148">
        <v>9960088520</v>
      </c>
      <c r="E217" s="148">
        <v>500</v>
      </c>
      <c r="F217" s="32">
        <f>14000000+5378786+70151093.22+805308.45+6666500+2282185.71+3000000+7531152.2+40414971.6+21325752.29+1938916.7+36496875.93+10271520.06+4458752.8+5505850+1966425.6+300000</f>
        <v>232494090.56</v>
      </c>
      <c r="G217" s="32">
        <v>0</v>
      </c>
      <c r="H217" s="32">
        <v>0</v>
      </c>
    </row>
  </sheetData>
  <mergeCells count="1">
    <mergeCell ref="A9:H9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56"/>
  <headerFooter alignWithMargins="0"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9"/>
  <sheetViews>
    <sheetView showGridLines="0" workbookViewId="0" topLeftCell="A1">
      <selection activeCell="A1" sqref="A1"/>
    </sheetView>
  </sheetViews>
  <sheetFormatPr defaultColWidth="10.28125" defaultRowHeight="15.75" customHeight="1"/>
  <cols>
    <col min="1" max="1" width="60.8515625" style="150" customWidth="1"/>
    <col min="2" max="2" width="6.140625" style="150" customWidth="1"/>
    <col min="3" max="3" width="6.00390625" style="150" customWidth="1"/>
    <col min="4" max="4" width="17.421875" style="150" customWidth="1"/>
    <col min="5" max="5" width="8.00390625" style="150" customWidth="1"/>
    <col min="6" max="6" width="19.28125" style="150" customWidth="1"/>
    <col min="7" max="8" width="21.00390625" style="150" customWidth="1"/>
    <col min="9" max="256" width="9.140625" style="150" customWidth="1"/>
  </cols>
  <sheetData>
    <row r="1" spans="1:10" ht="15" customHeight="1">
      <c r="A1" s="2"/>
      <c r="B1" s="2"/>
      <c r="C1" s="2"/>
      <c r="D1" s="2"/>
      <c r="E1" s="2"/>
      <c r="F1" s="2"/>
      <c r="G1" s="151"/>
      <c r="H1" s="151"/>
      <c r="I1" s="2"/>
      <c r="J1" s="2"/>
    </row>
    <row r="2" spans="1:10" ht="18.75" customHeight="1">
      <c r="A2" s="2"/>
      <c r="B2" s="2"/>
      <c r="C2" s="2"/>
      <c r="D2" s="152"/>
      <c r="E2" s="2"/>
      <c r="F2" s="2"/>
      <c r="G2" s="153" t="s">
        <v>470</v>
      </c>
      <c r="H2" s="151"/>
      <c r="I2" s="2"/>
      <c r="J2" s="2"/>
    </row>
    <row r="3" spans="1:10" ht="18.75" customHeight="1">
      <c r="A3" s="2"/>
      <c r="B3" s="2"/>
      <c r="C3" s="2"/>
      <c r="D3" s="152"/>
      <c r="E3" s="2"/>
      <c r="F3" s="2"/>
      <c r="G3" s="153" t="s">
        <v>377</v>
      </c>
      <c r="H3" s="151"/>
      <c r="I3" s="2"/>
      <c r="J3" s="2"/>
    </row>
    <row r="4" spans="1:10" ht="18.75" customHeight="1">
      <c r="A4" s="2"/>
      <c r="B4" s="2"/>
      <c r="C4" s="2"/>
      <c r="D4" s="152"/>
      <c r="E4" s="2"/>
      <c r="F4" s="2"/>
      <c r="G4" s="153" t="s">
        <v>2</v>
      </c>
      <c r="H4" s="151"/>
      <c r="I4" s="2"/>
      <c r="J4" s="2"/>
    </row>
    <row r="5" spans="1:10" ht="18.75" customHeight="1">
      <c r="A5" s="2"/>
      <c r="B5" s="2"/>
      <c r="C5" s="2"/>
      <c r="D5" s="152"/>
      <c r="E5" s="2"/>
      <c r="F5" s="2"/>
      <c r="G5" s="153" t="s">
        <v>3</v>
      </c>
      <c r="H5" s="151"/>
      <c r="I5" s="2"/>
      <c r="J5" s="2"/>
    </row>
    <row r="6" spans="1:10" ht="18.75" customHeight="1">
      <c r="A6" s="2"/>
      <c r="B6" s="2"/>
      <c r="C6" s="2"/>
      <c r="D6" s="152"/>
      <c r="E6" s="2"/>
      <c r="F6" s="2"/>
      <c r="G6" s="153" t="s">
        <v>4</v>
      </c>
      <c r="H6" s="151"/>
      <c r="I6" s="2"/>
      <c r="J6" s="2"/>
    </row>
    <row r="7" spans="1:10" ht="18.75" customHeight="1">
      <c r="A7" s="2"/>
      <c r="B7" s="2"/>
      <c r="C7" s="2"/>
      <c r="D7" s="152"/>
      <c r="E7" s="2"/>
      <c r="F7" s="2"/>
      <c r="G7" s="153" t="s">
        <v>253</v>
      </c>
      <c r="H7" s="151"/>
      <c r="I7" s="2"/>
      <c r="J7" s="2"/>
    </row>
    <row r="8" spans="1:10" ht="18.75" customHeight="1">
      <c r="A8" s="2"/>
      <c r="B8" s="2"/>
      <c r="C8" s="2"/>
      <c r="D8" s="152"/>
      <c r="E8" s="2"/>
      <c r="F8" s="2"/>
      <c r="G8" s="153" t="s">
        <v>254</v>
      </c>
      <c r="H8" s="151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151"/>
      <c r="H9" s="151"/>
      <c r="I9" s="2"/>
      <c r="J9" s="2"/>
    </row>
    <row r="10" spans="1:10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68.25" customHeight="1">
      <c r="A11" s="154" t="s">
        <v>471</v>
      </c>
      <c r="B11" s="155"/>
      <c r="C11" s="155"/>
      <c r="D11" s="155"/>
      <c r="E11" s="155"/>
      <c r="F11" s="155"/>
      <c r="G11" s="155"/>
      <c r="H11" s="155"/>
      <c r="I11" s="2"/>
      <c r="J11" s="2"/>
    </row>
    <row r="12" spans="1:10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 customHeight="1">
      <c r="A13" s="7"/>
      <c r="B13" s="7"/>
      <c r="C13" s="7"/>
      <c r="D13" s="7"/>
      <c r="E13" s="7"/>
      <c r="F13" s="156"/>
      <c r="G13" s="7"/>
      <c r="H13" s="157" t="s">
        <v>256</v>
      </c>
      <c r="I13" s="2"/>
      <c r="J13" s="2"/>
    </row>
    <row r="14" spans="1:10" ht="30" customHeight="1">
      <c r="A14" s="9" t="s">
        <v>9</v>
      </c>
      <c r="B14" s="9" t="s">
        <v>379</v>
      </c>
      <c r="C14" s="9" t="s">
        <v>380</v>
      </c>
      <c r="D14" s="9" t="s">
        <v>257</v>
      </c>
      <c r="E14" s="9" t="s">
        <v>258</v>
      </c>
      <c r="F14" s="9" t="s">
        <v>10</v>
      </c>
      <c r="G14" s="9" t="s">
        <v>11</v>
      </c>
      <c r="H14" s="9" t="s">
        <v>12</v>
      </c>
      <c r="I14" s="10"/>
      <c r="J14" s="2"/>
    </row>
    <row r="15" spans="1:10" ht="16.5" customHeight="1">
      <c r="A15" s="22" t="s">
        <v>259</v>
      </c>
      <c r="B15" s="22"/>
      <c r="C15" s="22"/>
      <c r="D15" s="158"/>
      <c r="E15" s="158"/>
      <c r="F15" s="159">
        <f>F16+F76+F88+F144+F153+F230+F260+F268+F324+F345+F134</f>
        <v>3369432356.45</v>
      </c>
      <c r="G15" s="159">
        <f>G16+G76+G88+G144+G153+G230+G260+G268+G324+G345+G134</f>
        <v>2508435711.42</v>
      </c>
      <c r="H15" s="159">
        <f>H16+H76+H88+H144+H153+H230+H260+H268+H324+H345+H134</f>
        <v>2436308883.6116</v>
      </c>
      <c r="I15" s="10"/>
      <c r="J15" s="2"/>
    </row>
    <row r="16" spans="1:10" ht="16.5" customHeight="1">
      <c r="A16" s="87" t="s">
        <v>382</v>
      </c>
      <c r="B16" s="134" t="s">
        <v>383</v>
      </c>
      <c r="C16" s="134"/>
      <c r="D16" s="134"/>
      <c r="E16" s="134"/>
      <c r="F16" s="135">
        <f>F17+F21+F27+F34+F44+F48+F40</f>
        <v>654550748.49</v>
      </c>
      <c r="G16" s="135">
        <f>G17+G21+G27+G34+G44+G48+G40</f>
        <v>624356429.11</v>
      </c>
      <c r="H16" s="135">
        <f>H17+H21+H27+H34+H44+H48+H40</f>
        <v>757188677.47</v>
      </c>
      <c r="I16" s="10"/>
      <c r="J16" s="2"/>
    </row>
    <row r="17" spans="1:10" ht="49.5" customHeight="1">
      <c r="A17" s="87" t="s">
        <v>384</v>
      </c>
      <c r="B17" s="134" t="s">
        <v>383</v>
      </c>
      <c r="C17" s="134" t="s">
        <v>385</v>
      </c>
      <c r="D17" s="134"/>
      <c r="E17" s="134"/>
      <c r="F17" s="135">
        <f>F18</f>
        <v>6857940.14</v>
      </c>
      <c r="G17" s="135">
        <f>G18</f>
        <v>6572995.6</v>
      </c>
      <c r="H17" s="135">
        <f>H18</f>
        <v>6576358.8</v>
      </c>
      <c r="I17" s="10"/>
      <c r="J17" s="2"/>
    </row>
    <row r="18" spans="1:10" ht="16.5" customHeight="1">
      <c r="A18" s="87" t="s">
        <v>386</v>
      </c>
      <c r="B18" s="134" t="s">
        <v>383</v>
      </c>
      <c r="C18" s="134" t="s">
        <v>385</v>
      </c>
      <c r="D18" s="134" t="s">
        <v>387</v>
      </c>
      <c r="E18" s="134"/>
      <c r="F18" s="135">
        <f>F19</f>
        <v>6857940.14</v>
      </c>
      <c r="G18" s="135">
        <f>G19</f>
        <v>6572995.6</v>
      </c>
      <c r="H18" s="135">
        <f>H19</f>
        <v>6576358.8</v>
      </c>
      <c r="I18" s="10"/>
      <c r="J18" s="2"/>
    </row>
    <row r="19" spans="1:10" ht="30.75" customHeight="1">
      <c r="A19" s="71" t="s">
        <v>388</v>
      </c>
      <c r="B19" s="143" t="s">
        <v>383</v>
      </c>
      <c r="C19" s="143" t="s">
        <v>385</v>
      </c>
      <c r="D19" s="143" t="s">
        <v>389</v>
      </c>
      <c r="E19" s="143"/>
      <c r="F19" s="137">
        <f>F20</f>
        <v>6857940.14</v>
      </c>
      <c r="G19" s="137">
        <f>G20</f>
        <v>6572995.6</v>
      </c>
      <c r="H19" s="137">
        <f>H20</f>
        <v>6576358.8</v>
      </c>
      <c r="I19" s="10"/>
      <c r="J19" s="2"/>
    </row>
    <row r="20" spans="1:10" ht="85.5" customHeight="1">
      <c r="A20" s="71" t="s">
        <v>264</v>
      </c>
      <c r="B20" s="143" t="s">
        <v>383</v>
      </c>
      <c r="C20" s="143" t="s">
        <v>385</v>
      </c>
      <c r="D20" s="143" t="s">
        <v>389</v>
      </c>
      <c r="E20" s="143" t="s">
        <v>299</v>
      </c>
      <c r="F20" s="160">
        <v>6857940.14</v>
      </c>
      <c r="G20" s="160">
        <v>6572995.6</v>
      </c>
      <c r="H20" s="160">
        <v>6576358.8</v>
      </c>
      <c r="I20" s="10"/>
      <c r="J20" s="2"/>
    </row>
    <row r="21" spans="1:10" ht="61.5" customHeight="1">
      <c r="A21" s="87" t="s">
        <v>392</v>
      </c>
      <c r="B21" s="134" t="s">
        <v>383</v>
      </c>
      <c r="C21" s="134" t="s">
        <v>393</v>
      </c>
      <c r="D21" s="134"/>
      <c r="E21" s="134"/>
      <c r="F21" s="135">
        <f>F22</f>
        <v>3323998.34</v>
      </c>
      <c r="G21" s="135">
        <f>G22</f>
        <v>4122956.32</v>
      </c>
      <c r="H21" s="135">
        <f>H22</f>
        <v>4252157.71</v>
      </c>
      <c r="I21" s="10"/>
      <c r="J21" s="2"/>
    </row>
    <row r="22" spans="1:10" ht="16.5" customHeight="1">
      <c r="A22" s="87" t="s">
        <v>386</v>
      </c>
      <c r="B22" s="134" t="s">
        <v>383</v>
      </c>
      <c r="C22" s="134" t="s">
        <v>393</v>
      </c>
      <c r="D22" s="134" t="s">
        <v>387</v>
      </c>
      <c r="E22" s="134"/>
      <c r="F22" s="135">
        <f>F23</f>
        <v>3323998.34</v>
      </c>
      <c r="G22" s="135">
        <f>G23</f>
        <v>4122956.32</v>
      </c>
      <c r="H22" s="135">
        <f>H23</f>
        <v>4252157.71</v>
      </c>
      <c r="I22" s="10"/>
      <c r="J22" s="2"/>
    </row>
    <row r="23" spans="1:10" ht="30.75" customHeight="1">
      <c r="A23" s="71" t="s">
        <v>388</v>
      </c>
      <c r="B23" s="143" t="s">
        <v>383</v>
      </c>
      <c r="C23" s="143" t="s">
        <v>393</v>
      </c>
      <c r="D23" s="143" t="s">
        <v>389</v>
      </c>
      <c r="E23" s="143"/>
      <c r="F23" s="137">
        <f>F24+F25+F26</f>
        <v>3323998.34</v>
      </c>
      <c r="G23" s="137">
        <f>G24+G25+G26</f>
        <v>4122956.32</v>
      </c>
      <c r="H23" s="137">
        <f>H24+H25+H26</f>
        <v>4252157.71</v>
      </c>
      <c r="I23" s="10"/>
      <c r="J23" s="2"/>
    </row>
    <row r="24" spans="1:10" ht="76.5" customHeight="1">
      <c r="A24" s="71" t="s">
        <v>264</v>
      </c>
      <c r="B24" s="143" t="s">
        <v>383</v>
      </c>
      <c r="C24" s="143" t="s">
        <v>393</v>
      </c>
      <c r="D24" s="143" t="s">
        <v>389</v>
      </c>
      <c r="E24" s="143" t="s">
        <v>299</v>
      </c>
      <c r="F24" s="137">
        <v>443979.95</v>
      </c>
      <c r="G24" s="137">
        <v>698034.66</v>
      </c>
      <c r="H24" s="137">
        <v>698034.66</v>
      </c>
      <c r="I24" s="10"/>
      <c r="J24" s="2"/>
    </row>
    <row r="25" spans="1:10" ht="30.75" customHeight="1">
      <c r="A25" s="71" t="s">
        <v>265</v>
      </c>
      <c r="B25" s="143" t="s">
        <v>383</v>
      </c>
      <c r="C25" s="143" t="s">
        <v>393</v>
      </c>
      <c r="D25" s="143" t="s">
        <v>389</v>
      </c>
      <c r="E25" s="143" t="s">
        <v>330</v>
      </c>
      <c r="F25" s="137">
        <v>2860018.39</v>
      </c>
      <c r="G25" s="137">
        <v>3399921.66</v>
      </c>
      <c r="H25" s="137">
        <v>3529123.05</v>
      </c>
      <c r="I25" s="10"/>
      <c r="J25" s="2"/>
    </row>
    <row r="26" spans="1:10" ht="16.5" customHeight="1">
      <c r="A26" s="71" t="s">
        <v>267</v>
      </c>
      <c r="B26" s="143" t="s">
        <v>383</v>
      </c>
      <c r="C26" s="143" t="s">
        <v>393</v>
      </c>
      <c r="D26" s="143" t="s">
        <v>389</v>
      </c>
      <c r="E26" s="143" t="s">
        <v>306</v>
      </c>
      <c r="F26" s="137">
        <v>20000</v>
      </c>
      <c r="G26" s="137">
        <v>25000</v>
      </c>
      <c r="H26" s="137">
        <v>25000</v>
      </c>
      <c r="I26" s="10"/>
      <c r="J26" s="2"/>
    </row>
    <row r="27" spans="1:10" ht="61.5" customHeight="1">
      <c r="A27" s="87" t="s">
        <v>396</v>
      </c>
      <c r="B27" s="134" t="s">
        <v>383</v>
      </c>
      <c r="C27" s="134" t="s">
        <v>397</v>
      </c>
      <c r="D27" s="134"/>
      <c r="E27" s="134"/>
      <c r="F27" s="135">
        <f>F28</f>
        <v>66830144.16</v>
      </c>
      <c r="G27" s="135">
        <f>G28</f>
        <v>64607619.22</v>
      </c>
      <c r="H27" s="135">
        <f>H28</f>
        <v>65061241.19</v>
      </c>
      <c r="I27" s="10"/>
      <c r="J27" s="2"/>
    </row>
    <row r="28" spans="1:10" ht="16.5" customHeight="1">
      <c r="A28" s="87" t="s">
        <v>386</v>
      </c>
      <c r="B28" s="134" t="s">
        <v>383</v>
      </c>
      <c r="C28" s="134" t="s">
        <v>397</v>
      </c>
      <c r="D28" s="134" t="s">
        <v>387</v>
      </c>
      <c r="E28" s="134"/>
      <c r="F28" s="135">
        <f>F29</f>
        <v>66830144.16</v>
      </c>
      <c r="G28" s="135">
        <f>G29</f>
        <v>64607619.22</v>
      </c>
      <c r="H28" s="135">
        <f>H29</f>
        <v>65061241.19</v>
      </c>
      <c r="I28" s="10"/>
      <c r="J28" s="2"/>
    </row>
    <row r="29" spans="1:10" ht="60.75" customHeight="1">
      <c r="A29" s="71" t="s">
        <v>388</v>
      </c>
      <c r="B29" s="143" t="s">
        <v>383</v>
      </c>
      <c r="C29" s="143" t="s">
        <v>397</v>
      </c>
      <c r="D29" s="143" t="s">
        <v>389</v>
      </c>
      <c r="E29" s="143"/>
      <c r="F29" s="137">
        <f>SUM(F30:F33)</f>
        <v>66830144.16</v>
      </c>
      <c r="G29" s="137">
        <f>SUM(G30:G33)</f>
        <v>64607619.22</v>
      </c>
      <c r="H29" s="137">
        <f>SUM(H30:H33)</f>
        <v>65061241.19</v>
      </c>
      <c r="I29" s="10"/>
      <c r="J29" s="2"/>
    </row>
    <row r="30" spans="1:10" ht="75" customHeight="1">
      <c r="A30" s="71" t="s">
        <v>264</v>
      </c>
      <c r="B30" s="143" t="s">
        <v>383</v>
      </c>
      <c r="C30" s="143" t="s">
        <v>397</v>
      </c>
      <c r="D30" s="143" t="s">
        <v>389</v>
      </c>
      <c r="E30" s="143" t="s">
        <v>299</v>
      </c>
      <c r="F30" s="137">
        <v>60642847.06</v>
      </c>
      <c r="G30" s="137">
        <v>57483867.12</v>
      </c>
      <c r="H30" s="137">
        <v>57672134.77</v>
      </c>
      <c r="I30" s="10"/>
      <c r="J30" s="2"/>
    </row>
    <row r="31" spans="1:10" ht="30.75" customHeight="1">
      <c r="A31" s="71" t="s">
        <v>265</v>
      </c>
      <c r="B31" s="143" t="s">
        <v>383</v>
      </c>
      <c r="C31" s="143" t="s">
        <v>397</v>
      </c>
      <c r="D31" s="143" t="s">
        <v>389</v>
      </c>
      <c r="E31" s="143" t="s">
        <v>330</v>
      </c>
      <c r="F31" s="137">
        <v>5647781.2</v>
      </c>
      <c r="G31" s="137">
        <v>6961444.07</v>
      </c>
      <c r="H31" s="137">
        <v>7220306.07</v>
      </c>
      <c r="I31" s="10"/>
      <c r="J31" s="2"/>
    </row>
    <row r="32" spans="1:10" ht="16.5" customHeight="1">
      <c r="A32" s="71" t="s">
        <v>266</v>
      </c>
      <c r="B32" s="143" t="s">
        <v>383</v>
      </c>
      <c r="C32" s="143" t="s">
        <v>397</v>
      </c>
      <c r="D32" s="143" t="s">
        <v>389</v>
      </c>
      <c r="E32" s="143" t="s">
        <v>335</v>
      </c>
      <c r="F32" s="137">
        <v>394183.9</v>
      </c>
      <c r="G32" s="137">
        <v>0</v>
      </c>
      <c r="H32" s="137">
        <v>0</v>
      </c>
      <c r="I32" s="10"/>
      <c r="J32" s="2"/>
    </row>
    <row r="33" spans="1:10" ht="16.5" customHeight="1">
      <c r="A33" s="71" t="s">
        <v>267</v>
      </c>
      <c r="B33" s="143" t="s">
        <v>383</v>
      </c>
      <c r="C33" s="143" t="s">
        <v>397</v>
      </c>
      <c r="D33" s="143" t="s">
        <v>389</v>
      </c>
      <c r="E33" s="143" t="s">
        <v>306</v>
      </c>
      <c r="F33" s="137">
        <v>145332</v>
      </c>
      <c r="G33" s="137">
        <v>162308.03</v>
      </c>
      <c r="H33" s="137">
        <v>168800.35</v>
      </c>
      <c r="I33" s="10"/>
      <c r="J33" s="2"/>
    </row>
    <row r="34" spans="1:10" ht="46.5" customHeight="1">
      <c r="A34" s="87" t="s">
        <v>400</v>
      </c>
      <c r="B34" s="134" t="s">
        <v>383</v>
      </c>
      <c r="C34" s="134" t="s">
        <v>401</v>
      </c>
      <c r="D34" s="134"/>
      <c r="E34" s="134"/>
      <c r="F34" s="135">
        <f>F35</f>
        <v>44730393.85</v>
      </c>
      <c r="G34" s="135">
        <f>G35</f>
        <v>39196555.57</v>
      </c>
      <c r="H34" s="135">
        <f>H35</f>
        <v>40038193.86</v>
      </c>
      <c r="I34" s="10"/>
      <c r="J34" s="2"/>
    </row>
    <row r="35" spans="1:10" ht="16.5" customHeight="1">
      <c r="A35" s="87" t="s">
        <v>386</v>
      </c>
      <c r="B35" s="134" t="s">
        <v>383</v>
      </c>
      <c r="C35" s="134" t="s">
        <v>401</v>
      </c>
      <c r="D35" s="134" t="s">
        <v>387</v>
      </c>
      <c r="E35" s="134"/>
      <c r="F35" s="135">
        <f>F36</f>
        <v>44730393.85</v>
      </c>
      <c r="G35" s="135">
        <f>G36</f>
        <v>39196555.57</v>
      </c>
      <c r="H35" s="135">
        <f>H36</f>
        <v>40038193.86</v>
      </c>
      <c r="I35" s="10"/>
      <c r="J35" s="2"/>
    </row>
    <row r="36" spans="1:10" ht="30.75" customHeight="1">
      <c r="A36" s="71" t="s">
        <v>388</v>
      </c>
      <c r="B36" s="143" t="s">
        <v>383</v>
      </c>
      <c r="C36" s="143" t="s">
        <v>401</v>
      </c>
      <c r="D36" s="143" t="s">
        <v>389</v>
      </c>
      <c r="E36" s="143"/>
      <c r="F36" s="137">
        <f>SUM(F37:F39)</f>
        <v>44730393.85</v>
      </c>
      <c r="G36" s="137">
        <f>SUM(G37:G39)</f>
        <v>39196555.57</v>
      </c>
      <c r="H36" s="137">
        <f>SUM(H37:H39)</f>
        <v>40038193.86</v>
      </c>
      <c r="I36" s="10"/>
      <c r="J36" s="2"/>
    </row>
    <row r="37" spans="1:10" ht="74.25" customHeight="1">
      <c r="A37" s="71" t="s">
        <v>264</v>
      </c>
      <c r="B37" s="143" t="s">
        <v>383</v>
      </c>
      <c r="C37" s="143" t="s">
        <v>401</v>
      </c>
      <c r="D37" s="143" t="s">
        <v>389</v>
      </c>
      <c r="E37" s="143" t="s">
        <v>299</v>
      </c>
      <c r="F37" s="137">
        <v>41457335.45</v>
      </c>
      <c r="G37" s="137">
        <v>35662515.94</v>
      </c>
      <c r="H37" s="137">
        <v>36464879.94</v>
      </c>
      <c r="I37" s="10"/>
      <c r="J37" s="2"/>
    </row>
    <row r="38" spans="1:10" ht="30.75" customHeight="1">
      <c r="A38" s="71" t="s">
        <v>265</v>
      </c>
      <c r="B38" s="143" t="s">
        <v>383</v>
      </c>
      <c r="C38" s="143" t="s">
        <v>401</v>
      </c>
      <c r="D38" s="143" t="s">
        <v>389</v>
      </c>
      <c r="E38" s="143" t="s">
        <v>330</v>
      </c>
      <c r="F38" s="137">
        <v>3118702.4</v>
      </c>
      <c r="G38" s="137">
        <v>3534039.63</v>
      </c>
      <c r="H38" s="137">
        <v>3573313.92</v>
      </c>
      <c r="I38" s="10"/>
      <c r="J38" s="2"/>
    </row>
    <row r="39" spans="1:10" ht="16.5" customHeight="1">
      <c r="A39" s="71" t="s">
        <v>266</v>
      </c>
      <c r="B39" s="143" t="s">
        <v>383</v>
      </c>
      <c r="C39" s="143" t="s">
        <v>401</v>
      </c>
      <c r="D39" s="143" t="s">
        <v>389</v>
      </c>
      <c r="E39" s="143" t="s">
        <v>335</v>
      </c>
      <c r="F39" s="137">
        <v>154356</v>
      </c>
      <c r="G39" s="137">
        <v>0</v>
      </c>
      <c r="H39" s="137">
        <v>0</v>
      </c>
      <c r="I39" s="10"/>
      <c r="J39" s="2"/>
    </row>
    <row r="40" spans="1:10" ht="16.5" customHeight="1">
      <c r="A40" s="87" t="s">
        <v>404</v>
      </c>
      <c r="B40" s="134" t="s">
        <v>383</v>
      </c>
      <c r="C40" s="134" t="s">
        <v>405</v>
      </c>
      <c r="D40" s="134"/>
      <c r="E40" s="134"/>
      <c r="F40" s="135">
        <f>F41</f>
        <v>1000</v>
      </c>
      <c r="G40" s="135">
        <f>G41</f>
        <v>0</v>
      </c>
      <c r="H40" s="135">
        <f>H41</f>
        <v>0</v>
      </c>
      <c r="I40" s="10"/>
      <c r="J40" s="2"/>
    </row>
    <row r="41" spans="1:10" ht="16.5" customHeight="1">
      <c r="A41" s="87" t="s">
        <v>386</v>
      </c>
      <c r="B41" s="134" t="s">
        <v>383</v>
      </c>
      <c r="C41" s="134" t="s">
        <v>405</v>
      </c>
      <c r="D41" s="134" t="s">
        <v>387</v>
      </c>
      <c r="E41" s="134"/>
      <c r="F41" s="135">
        <f>F42</f>
        <v>1000</v>
      </c>
      <c r="G41" s="135">
        <f>G42</f>
        <v>0</v>
      </c>
      <c r="H41" s="135">
        <f>H42</f>
        <v>0</v>
      </c>
      <c r="I41" s="10"/>
      <c r="J41" s="2"/>
    </row>
    <row r="42" spans="1:10" ht="16.5" customHeight="1">
      <c r="A42" s="71" t="s">
        <v>406</v>
      </c>
      <c r="B42" s="143" t="s">
        <v>383</v>
      </c>
      <c r="C42" s="143" t="s">
        <v>405</v>
      </c>
      <c r="D42" s="143" t="s">
        <v>407</v>
      </c>
      <c r="E42" s="143"/>
      <c r="F42" s="137">
        <f>F43</f>
        <v>1000</v>
      </c>
      <c r="G42" s="137">
        <f>G43</f>
        <v>0</v>
      </c>
      <c r="H42" s="137">
        <f>H43</f>
        <v>0</v>
      </c>
      <c r="I42" s="10"/>
      <c r="J42" s="2"/>
    </row>
    <row r="43" spans="1:10" ht="30.75" customHeight="1">
      <c r="A43" s="71" t="s">
        <v>265</v>
      </c>
      <c r="B43" s="143" t="s">
        <v>383</v>
      </c>
      <c r="C43" s="143" t="s">
        <v>405</v>
      </c>
      <c r="D43" s="143" t="s">
        <v>407</v>
      </c>
      <c r="E43" s="143" t="s">
        <v>330</v>
      </c>
      <c r="F43" s="137">
        <v>1000</v>
      </c>
      <c r="G43" s="137">
        <v>0</v>
      </c>
      <c r="H43" s="137">
        <v>0</v>
      </c>
      <c r="I43" s="10"/>
      <c r="J43" s="2"/>
    </row>
    <row r="44" spans="1:10" ht="16.5" customHeight="1">
      <c r="A44" s="87" t="s">
        <v>411</v>
      </c>
      <c r="B44" s="134" t="s">
        <v>383</v>
      </c>
      <c r="C44" s="134" t="s">
        <v>412</v>
      </c>
      <c r="D44" s="134"/>
      <c r="E44" s="134"/>
      <c r="F44" s="135">
        <f>F45</f>
        <v>40017479.91</v>
      </c>
      <c r="G44" s="135">
        <f>G45</f>
        <v>30000000</v>
      </c>
      <c r="H44" s="135">
        <f>H45</f>
        <v>30000000</v>
      </c>
      <c r="I44" s="10"/>
      <c r="J44" s="2"/>
    </row>
    <row r="45" spans="1:10" ht="16.5" customHeight="1">
      <c r="A45" s="87" t="s">
        <v>386</v>
      </c>
      <c r="B45" s="134" t="s">
        <v>383</v>
      </c>
      <c r="C45" s="134" t="s">
        <v>412</v>
      </c>
      <c r="D45" s="134" t="s">
        <v>387</v>
      </c>
      <c r="E45" s="134"/>
      <c r="F45" s="135">
        <f>F46</f>
        <v>40017479.91</v>
      </c>
      <c r="G45" s="135">
        <f>G46</f>
        <v>30000000</v>
      </c>
      <c r="H45" s="135">
        <f>H46</f>
        <v>30000000</v>
      </c>
      <c r="I45" s="10"/>
      <c r="J45" s="2"/>
    </row>
    <row r="46" spans="1:10" ht="16.5" customHeight="1">
      <c r="A46" s="71" t="s">
        <v>472</v>
      </c>
      <c r="B46" s="143" t="s">
        <v>383</v>
      </c>
      <c r="C46" s="143" t="s">
        <v>412</v>
      </c>
      <c r="D46" s="143" t="s">
        <v>407</v>
      </c>
      <c r="E46" s="143"/>
      <c r="F46" s="137">
        <f>F47</f>
        <v>40017479.91</v>
      </c>
      <c r="G46" s="137">
        <f>G47</f>
        <v>30000000</v>
      </c>
      <c r="H46" s="137">
        <f>H47</f>
        <v>30000000</v>
      </c>
      <c r="I46" s="10"/>
      <c r="J46" s="2"/>
    </row>
    <row r="47" spans="1:10" ht="16.5" customHeight="1">
      <c r="A47" s="71" t="s">
        <v>267</v>
      </c>
      <c r="B47" s="143" t="s">
        <v>383</v>
      </c>
      <c r="C47" s="143" t="s">
        <v>412</v>
      </c>
      <c r="D47" s="143" t="s">
        <v>407</v>
      </c>
      <c r="E47" s="143" t="s">
        <v>306</v>
      </c>
      <c r="F47" s="137">
        <v>40017479.91</v>
      </c>
      <c r="G47" s="137">
        <v>30000000</v>
      </c>
      <c r="H47" s="137">
        <v>30000000</v>
      </c>
      <c r="I47" s="10"/>
      <c r="J47" s="2"/>
    </row>
    <row r="48" spans="1:10" ht="16.5" customHeight="1">
      <c r="A48" s="87" t="s">
        <v>415</v>
      </c>
      <c r="B48" s="134" t="s">
        <v>383</v>
      </c>
      <c r="C48" s="134" t="s">
        <v>410</v>
      </c>
      <c r="D48" s="134"/>
      <c r="E48" s="134"/>
      <c r="F48" s="135">
        <f>F49+F52+F64</f>
        <v>492789792.09</v>
      </c>
      <c r="G48" s="135">
        <f>G49+G52+G64</f>
        <v>479856302.4</v>
      </c>
      <c r="H48" s="135">
        <f>H49+H52+H64</f>
        <v>611260725.91</v>
      </c>
      <c r="I48" s="10"/>
      <c r="J48" s="2"/>
    </row>
    <row r="49" spans="1:10" ht="47.25" customHeight="1">
      <c r="A49" s="87" t="s">
        <v>338</v>
      </c>
      <c r="B49" s="134" t="s">
        <v>383</v>
      </c>
      <c r="C49" s="134" t="s">
        <v>410</v>
      </c>
      <c r="D49" s="134" t="s">
        <v>339</v>
      </c>
      <c r="E49" s="134"/>
      <c r="F49" s="135">
        <f>F50</f>
        <v>8152727.29</v>
      </c>
      <c r="G49" s="135">
        <f>G50</f>
        <v>11277200</v>
      </c>
      <c r="H49" s="135">
        <f>H50</f>
        <v>9735155</v>
      </c>
      <c r="I49" s="10"/>
      <c r="J49" s="2"/>
    </row>
    <row r="50" spans="1:10" ht="30.75" customHeight="1">
      <c r="A50" s="71" t="s">
        <v>340</v>
      </c>
      <c r="B50" s="143" t="s">
        <v>383</v>
      </c>
      <c r="C50" s="143" t="s">
        <v>410</v>
      </c>
      <c r="D50" s="143" t="s">
        <v>341</v>
      </c>
      <c r="E50" s="143"/>
      <c r="F50" s="137">
        <f>F51</f>
        <v>8152727.29</v>
      </c>
      <c r="G50" s="137">
        <f>G51</f>
        <v>11277200</v>
      </c>
      <c r="H50" s="137">
        <f>H51</f>
        <v>9735155</v>
      </c>
      <c r="I50" s="10"/>
      <c r="J50" s="2"/>
    </row>
    <row r="51" spans="1:10" ht="30.75" customHeight="1">
      <c r="A51" s="71" t="s">
        <v>265</v>
      </c>
      <c r="B51" s="143" t="s">
        <v>383</v>
      </c>
      <c r="C51" s="143" t="s">
        <v>410</v>
      </c>
      <c r="D51" s="143" t="s">
        <v>341</v>
      </c>
      <c r="E51" s="143" t="s">
        <v>330</v>
      </c>
      <c r="F51" s="137">
        <v>8152727.29</v>
      </c>
      <c r="G51" s="137">
        <v>11277200</v>
      </c>
      <c r="H51" s="137">
        <v>9735155</v>
      </c>
      <c r="I51" s="10"/>
      <c r="J51" s="2"/>
    </row>
    <row r="52" spans="1:10" ht="33.75" customHeight="1">
      <c r="A52" s="87" t="s">
        <v>345</v>
      </c>
      <c r="B52" s="134" t="s">
        <v>383</v>
      </c>
      <c r="C52" s="134" t="s">
        <v>410</v>
      </c>
      <c r="D52" s="134" t="s">
        <v>346</v>
      </c>
      <c r="E52" s="134"/>
      <c r="F52" s="135">
        <f>F53+F57+F61</f>
        <v>58557170.98</v>
      </c>
      <c r="G52" s="135">
        <f>G53+G57+G61</f>
        <v>192588146.38</v>
      </c>
      <c r="H52" s="135">
        <f>H53+H57+H61</f>
        <v>317524529.65</v>
      </c>
      <c r="I52" s="10"/>
      <c r="J52" s="2"/>
    </row>
    <row r="53" spans="1:10" ht="16.5" customHeight="1">
      <c r="A53" s="71" t="s">
        <v>262</v>
      </c>
      <c r="B53" s="143" t="s">
        <v>383</v>
      </c>
      <c r="C53" s="143" t="s">
        <v>410</v>
      </c>
      <c r="D53" s="143" t="s">
        <v>347</v>
      </c>
      <c r="E53" s="143"/>
      <c r="F53" s="137">
        <f>SUM(F54:F56)</f>
        <v>32707249.57</v>
      </c>
      <c r="G53" s="137">
        <f>SUM(G54:G56)</f>
        <v>35124419.43</v>
      </c>
      <c r="H53" s="137">
        <f>SUM(H54:H56)</f>
        <v>35109419.73</v>
      </c>
      <c r="I53" s="10"/>
      <c r="J53" s="2"/>
    </row>
    <row r="54" spans="1:10" ht="75.75" customHeight="1">
      <c r="A54" s="71" t="s">
        <v>264</v>
      </c>
      <c r="B54" s="143" t="s">
        <v>383</v>
      </c>
      <c r="C54" s="143" t="s">
        <v>410</v>
      </c>
      <c r="D54" s="143" t="s">
        <v>347</v>
      </c>
      <c r="E54" s="143" t="s">
        <v>299</v>
      </c>
      <c r="F54" s="137">
        <v>30764804.9</v>
      </c>
      <c r="G54" s="137">
        <v>33239290</v>
      </c>
      <c r="H54" s="137">
        <v>33239290</v>
      </c>
      <c r="I54" s="10"/>
      <c r="J54" s="2"/>
    </row>
    <row r="55" spans="1:10" ht="30.75" customHeight="1">
      <c r="A55" s="71" t="s">
        <v>265</v>
      </c>
      <c r="B55" s="143" t="s">
        <v>383</v>
      </c>
      <c r="C55" s="143" t="s">
        <v>410</v>
      </c>
      <c r="D55" s="143" t="s">
        <v>347</v>
      </c>
      <c r="E55" s="143" t="s">
        <v>330</v>
      </c>
      <c r="F55" s="137">
        <v>1939444.67</v>
      </c>
      <c r="G55" s="137">
        <v>1882129.43</v>
      </c>
      <c r="H55" s="137">
        <v>1867129.73</v>
      </c>
      <c r="I55" s="10"/>
      <c r="J55" s="2"/>
    </row>
    <row r="56" spans="1:10" ht="16.5" customHeight="1">
      <c r="A56" s="71" t="s">
        <v>267</v>
      </c>
      <c r="B56" s="143" t="s">
        <v>383</v>
      </c>
      <c r="C56" s="143" t="s">
        <v>410</v>
      </c>
      <c r="D56" s="143" t="s">
        <v>347</v>
      </c>
      <c r="E56" s="143" t="s">
        <v>306</v>
      </c>
      <c r="F56" s="137">
        <v>3000</v>
      </c>
      <c r="G56" s="137">
        <v>3000</v>
      </c>
      <c r="H56" s="137">
        <v>3000</v>
      </c>
      <c r="I56" s="10"/>
      <c r="J56" s="2"/>
    </row>
    <row r="57" spans="1:10" ht="16.5" customHeight="1">
      <c r="A57" s="84" t="s">
        <v>348</v>
      </c>
      <c r="B57" s="134" t="s">
        <v>383</v>
      </c>
      <c r="C57" s="134" t="s">
        <v>410</v>
      </c>
      <c r="D57" s="134" t="s">
        <v>349</v>
      </c>
      <c r="E57" s="134"/>
      <c r="F57" s="135">
        <f>F58+F59+F60</f>
        <v>15765853.75</v>
      </c>
      <c r="G57" s="135">
        <f>G58+G59+G60</f>
        <v>156885676.95</v>
      </c>
      <c r="H57" s="135">
        <f>H58+H59+H60</f>
        <v>281843109.92</v>
      </c>
      <c r="I57" s="10"/>
      <c r="J57" s="2"/>
    </row>
    <row r="58" spans="1:10" ht="30.75" customHeight="1">
      <c r="A58" s="71" t="s">
        <v>265</v>
      </c>
      <c r="B58" s="143" t="s">
        <v>383</v>
      </c>
      <c r="C58" s="143" t="s">
        <v>410</v>
      </c>
      <c r="D58" s="143" t="s">
        <v>349</v>
      </c>
      <c r="E58" s="143" t="s">
        <v>330</v>
      </c>
      <c r="F58" s="137">
        <v>12299103.75</v>
      </c>
      <c r="G58" s="137">
        <v>6885676.95</v>
      </c>
      <c r="H58" s="137">
        <v>6813609.92</v>
      </c>
      <c r="I58" s="10"/>
      <c r="J58" s="2"/>
    </row>
    <row r="59" spans="1:10" ht="30.75" customHeight="1">
      <c r="A59" s="71" t="s">
        <v>350</v>
      </c>
      <c r="B59" s="143" t="s">
        <v>383</v>
      </c>
      <c r="C59" s="143" t="s">
        <v>410</v>
      </c>
      <c r="D59" s="143" t="s">
        <v>349</v>
      </c>
      <c r="E59" s="143" t="s">
        <v>344</v>
      </c>
      <c r="F59" s="137">
        <f>150000000-24217476.77+1236000-18218243-21325752.29-2122700+2228000-84115827.94</f>
        <v>3464000</v>
      </c>
      <c r="G59" s="137">
        <v>150000000</v>
      </c>
      <c r="H59" s="137">
        <v>275029500</v>
      </c>
      <c r="I59" s="10"/>
      <c r="J59" s="2"/>
    </row>
    <row r="60" spans="1:10" ht="16.5" customHeight="1">
      <c r="A60" s="71" t="s">
        <v>267</v>
      </c>
      <c r="B60" s="143" t="s">
        <v>383</v>
      </c>
      <c r="C60" s="143" t="s">
        <v>410</v>
      </c>
      <c r="D60" s="143" t="s">
        <v>349</v>
      </c>
      <c r="E60" s="143" t="s">
        <v>306</v>
      </c>
      <c r="F60" s="137">
        <v>2750</v>
      </c>
      <c r="G60" s="137">
        <v>0</v>
      </c>
      <c r="H60" s="137">
        <v>0</v>
      </c>
      <c r="I60" s="10"/>
      <c r="J60" s="2"/>
    </row>
    <row r="61" spans="1:10" ht="37.5" customHeight="1">
      <c r="A61" s="84" t="s">
        <v>351</v>
      </c>
      <c r="B61" s="134" t="s">
        <v>383</v>
      </c>
      <c r="C61" s="134" t="s">
        <v>410</v>
      </c>
      <c r="D61" s="134" t="s">
        <v>352</v>
      </c>
      <c r="E61" s="134"/>
      <c r="F61" s="135">
        <f>F62+F63</f>
        <v>10084067.66</v>
      </c>
      <c r="G61" s="135">
        <f>G62+G63</f>
        <v>578050</v>
      </c>
      <c r="H61" s="135">
        <f>H62+H63</f>
        <v>572000</v>
      </c>
      <c r="I61" s="10"/>
      <c r="J61" s="2"/>
    </row>
    <row r="62" spans="1:10" ht="30.75" customHeight="1">
      <c r="A62" s="71" t="s">
        <v>265</v>
      </c>
      <c r="B62" s="143" t="s">
        <v>383</v>
      </c>
      <c r="C62" s="143" t="s">
        <v>410</v>
      </c>
      <c r="D62" s="143" t="s">
        <v>352</v>
      </c>
      <c r="E62" s="143" t="s">
        <v>330</v>
      </c>
      <c r="F62" s="137">
        <v>9925176.66</v>
      </c>
      <c r="G62" s="137">
        <v>578050</v>
      </c>
      <c r="H62" s="137">
        <v>572000</v>
      </c>
      <c r="I62" s="10"/>
      <c r="J62" s="2"/>
    </row>
    <row r="63" spans="1:10" ht="16.5" customHeight="1">
      <c r="A63" s="71" t="s">
        <v>267</v>
      </c>
      <c r="B63" s="143" t="s">
        <v>383</v>
      </c>
      <c r="C63" s="143" t="s">
        <v>410</v>
      </c>
      <c r="D63" s="143" t="s">
        <v>352</v>
      </c>
      <c r="E63" s="143" t="s">
        <v>306</v>
      </c>
      <c r="F63" s="137">
        <v>158891</v>
      </c>
      <c r="G63" s="137">
        <v>0</v>
      </c>
      <c r="H63" s="137">
        <v>0</v>
      </c>
      <c r="I63" s="10"/>
      <c r="J63" s="2"/>
    </row>
    <row r="64" spans="1:10" ht="16.5" customHeight="1">
      <c r="A64" s="87" t="s">
        <v>386</v>
      </c>
      <c r="B64" s="134" t="s">
        <v>383</v>
      </c>
      <c r="C64" s="134" t="s">
        <v>410</v>
      </c>
      <c r="D64" s="138">
        <v>9900000000</v>
      </c>
      <c r="E64" s="134"/>
      <c r="F64" s="135">
        <f>F65+F71</f>
        <v>426079893.82</v>
      </c>
      <c r="G64" s="135">
        <f>G65+G71</f>
        <v>275990956.02</v>
      </c>
      <c r="H64" s="135">
        <f>H65+H71</f>
        <v>284001041.26</v>
      </c>
      <c r="I64" s="10"/>
      <c r="J64" s="2"/>
    </row>
    <row r="65" spans="1:10" ht="30.75" customHeight="1">
      <c r="A65" s="71" t="s">
        <v>388</v>
      </c>
      <c r="B65" s="143" t="s">
        <v>383</v>
      </c>
      <c r="C65" s="143" t="s">
        <v>410</v>
      </c>
      <c r="D65" s="146">
        <v>9910000000</v>
      </c>
      <c r="E65" s="143"/>
      <c r="F65" s="137">
        <f>SUM(F66:F70)</f>
        <v>340776009.03</v>
      </c>
      <c r="G65" s="137">
        <f>SUM(G66:G70)</f>
        <v>270354469.27</v>
      </c>
      <c r="H65" s="137">
        <f>SUM(H66:H70)</f>
        <v>278148290.24</v>
      </c>
      <c r="I65" s="10"/>
      <c r="J65" s="2"/>
    </row>
    <row r="66" spans="1:10" ht="75.75" customHeight="1">
      <c r="A66" s="71" t="s">
        <v>264</v>
      </c>
      <c r="B66" s="143" t="s">
        <v>383</v>
      </c>
      <c r="C66" s="143" t="s">
        <v>410</v>
      </c>
      <c r="D66" s="146">
        <v>9910000000</v>
      </c>
      <c r="E66" s="143" t="s">
        <v>299</v>
      </c>
      <c r="F66" s="137">
        <v>96578563.61</v>
      </c>
      <c r="G66" s="137">
        <v>58129959.24</v>
      </c>
      <c r="H66" s="137">
        <v>58786751.09</v>
      </c>
      <c r="I66" s="10"/>
      <c r="J66" s="2"/>
    </row>
    <row r="67" spans="1:10" ht="30.75" customHeight="1">
      <c r="A67" s="71" t="s">
        <v>265</v>
      </c>
      <c r="B67" s="143" t="s">
        <v>383</v>
      </c>
      <c r="C67" s="143" t="s">
        <v>410</v>
      </c>
      <c r="D67" s="146">
        <v>9910000000</v>
      </c>
      <c r="E67" s="143" t="s">
        <v>330</v>
      </c>
      <c r="F67" s="137">
        <v>13672655.72</v>
      </c>
      <c r="G67" s="137">
        <v>11421491.08</v>
      </c>
      <c r="H67" s="137">
        <v>11800428.24</v>
      </c>
      <c r="I67" s="10"/>
      <c r="J67" s="2"/>
    </row>
    <row r="68" spans="1:10" ht="16.5" customHeight="1">
      <c r="A68" s="71" t="s">
        <v>266</v>
      </c>
      <c r="B68" s="143" t="s">
        <v>383</v>
      </c>
      <c r="C68" s="143" t="s">
        <v>410</v>
      </c>
      <c r="D68" s="146">
        <v>9910000000</v>
      </c>
      <c r="E68" s="143" t="s">
        <v>335</v>
      </c>
      <c r="F68" s="137">
        <v>264067.44</v>
      </c>
      <c r="G68" s="137">
        <v>0</v>
      </c>
      <c r="H68" s="137">
        <v>0</v>
      </c>
      <c r="I68" s="10"/>
      <c r="J68" s="2"/>
    </row>
    <row r="69" spans="1:10" ht="30.75" customHeight="1">
      <c r="A69" s="71" t="s">
        <v>274</v>
      </c>
      <c r="B69" s="143" t="s">
        <v>383</v>
      </c>
      <c r="C69" s="143" t="s">
        <v>410</v>
      </c>
      <c r="D69" s="146">
        <v>9910000000</v>
      </c>
      <c r="E69" s="143" t="s">
        <v>417</v>
      </c>
      <c r="F69" s="137">
        <v>229151212.26</v>
      </c>
      <c r="G69" s="137">
        <v>199814928.95</v>
      </c>
      <c r="H69" s="137">
        <v>206609660.91</v>
      </c>
      <c r="I69" s="10"/>
      <c r="J69" s="2"/>
    </row>
    <row r="70" spans="1:10" ht="16.5" customHeight="1">
      <c r="A70" s="71" t="s">
        <v>267</v>
      </c>
      <c r="B70" s="143" t="s">
        <v>383</v>
      </c>
      <c r="C70" s="143" t="s">
        <v>410</v>
      </c>
      <c r="D70" s="146">
        <v>9910000000</v>
      </c>
      <c r="E70" s="143" t="s">
        <v>306</v>
      </c>
      <c r="F70" s="137">
        <v>1109510</v>
      </c>
      <c r="G70" s="137">
        <v>988090</v>
      </c>
      <c r="H70" s="137">
        <v>951450</v>
      </c>
      <c r="I70" s="10"/>
      <c r="J70" s="2"/>
    </row>
    <row r="71" spans="1:10" ht="16.5" customHeight="1">
      <c r="A71" s="71" t="s">
        <v>406</v>
      </c>
      <c r="B71" s="143" t="s">
        <v>383</v>
      </c>
      <c r="C71" s="143" t="s">
        <v>410</v>
      </c>
      <c r="D71" s="143" t="s">
        <v>407</v>
      </c>
      <c r="E71" s="143"/>
      <c r="F71" s="137">
        <f>SUM(F72:F75)</f>
        <v>85303884.79</v>
      </c>
      <c r="G71" s="137">
        <f>SUM(G72:G75)</f>
        <v>5636486.75</v>
      </c>
      <c r="H71" s="137">
        <f>SUM(H72:H75)</f>
        <v>5852751.02</v>
      </c>
      <c r="I71" s="10"/>
      <c r="J71" s="2"/>
    </row>
    <row r="72" spans="1:10" ht="30.75" customHeight="1">
      <c r="A72" s="71" t="s">
        <v>265</v>
      </c>
      <c r="B72" s="143" t="s">
        <v>383</v>
      </c>
      <c r="C72" s="143" t="s">
        <v>410</v>
      </c>
      <c r="D72" s="143" t="s">
        <v>407</v>
      </c>
      <c r="E72" s="143" t="s">
        <v>330</v>
      </c>
      <c r="F72" s="137">
        <v>7820156.87</v>
      </c>
      <c r="G72" s="137">
        <v>5406606.75</v>
      </c>
      <c r="H72" s="137">
        <v>5622871.02</v>
      </c>
      <c r="I72" s="10"/>
      <c r="J72" s="2"/>
    </row>
    <row r="73" spans="1:10" ht="16.5" customHeight="1">
      <c r="A73" s="71" t="s">
        <v>266</v>
      </c>
      <c r="B73" s="143" t="s">
        <v>383</v>
      </c>
      <c r="C73" s="143" t="s">
        <v>410</v>
      </c>
      <c r="D73" s="143" t="s">
        <v>407</v>
      </c>
      <c r="E73" s="143" t="s">
        <v>335</v>
      </c>
      <c r="F73" s="137">
        <v>1220779.31</v>
      </c>
      <c r="G73" s="137">
        <v>229880</v>
      </c>
      <c r="H73" s="137">
        <v>229880</v>
      </c>
      <c r="I73" s="10"/>
      <c r="J73" s="2"/>
    </row>
    <row r="74" spans="1:10" ht="30.75" customHeight="1">
      <c r="A74" s="71" t="s">
        <v>274</v>
      </c>
      <c r="B74" s="143" t="s">
        <v>383</v>
      </c>
      <c r="C74" s="143" t="s">
        <v>410</v>
      </c>
      <c r="D74" s="143" t="s">
        <v>407</v>
      </c>
      <c r="E74" s="143" t="s">
        <v>417</v>
      </c>
      <c r="F74" s="137">
        <v>52712700.92</v>
      </c>
      <c r="G74" s="137">
        <v>0</v>
      </c>
      <c r="H74" s="137">
        <v>0</v>
      </c>
      <c r="I74" s="10"/>
      <c r="J74" s="2"/>
    </row>
    <row r="75" spans="1:10" ht="16.5" customHeight="1">
      <c r="A75" s="71" t="s">
        <v>267</v>
      </c>
      <c r="B75" s="143" t="s">
        <v>383</v>
      </c>
      <c r="C75" s="143" t="s">
        <v>410</v>
      </c>
      <c r="D75" s="143" t="s">
        <v>407</v>
      </c>
      <c r="E75" s="143" t="s">
        <v>306</v>
      </c>
      <c r="F75" s="137">
        <v>23550247.69</v>
      </c>
      <c r="G75" s="137">
        <v>0</v>
      </c>
      <c r="H75" s="137">
        <v>0</v>
      </c>
      <c r="I75" s="10"/>
      <c r="J75" s="2"/>
    </row>
    <row r="76" spans="1:10" ht="31.5" customHeight="1">
      <c r="A76" s="87" t="s">
        <v>420</v>
      </c>
      <c r="B76" s="134" t="s">
        <v>393</v>
      </c>
      <c r="C76" s="134"/>
      <c r="D76" s="134"/>
      <c r="E76" s="134"/>
      <c r="F76" s="135">
        <f>F77</f>
        <v>15686837.2</v>
      </c>
      <c r="G76" s="135">
        <f>G77</f>
        <v>15237569</v>
      </c>
      <c r="H76" s="135">
        <f>H77</f>
        <v>15417016</v>
      </c>
      <c r="I76" s="10"/>
      <c r="J76" s="2"/>
    </row>
    <row r="77" spans="1:10" ht="63" customHeight="1">
      <c r="A77" s="87" t="s">
        <v>421</v>
      </c>
      <c r="B77" s="134" t="s">
        <v>393</v>
      </c>
      <c r="C77" s="134" t="s">
        <v>422</v>
      </c>
      <c r="D77" s="134"/>
      <c r="E77" s="134"/>
      <c r="F77" s="135">
        <f>F78+F81</f>
        <v>15686837.2</v>
      </c>
      <c r="G77" s="135">
        <f>G78+G81</f>
        <v>15237569</v>
      </c>
      <c r="H77" s="135">
        <f>H78+H81</f>
        <v>15417016</v>
      </c>
      <c r="I77" s="10"/>
      <c r="J77" s="2"/>
    </row>
    <row r="78" spans="1:10" ht="47.25" customHeight="1">
      <c r="A78" s="87" t="s">
        <v>366</v>
      </c>
      <c r="B78" s="134" t="s">
        <v>393</v>
      </c>
      <c r="C78" s="134" t="s">
        <v>422</v>
      </c>
      <c r="D78" s="134" t="s">
        <v>473</v>
      </c>
      <c r="E78" s="134"/>
      <c r="F78" s="135">
        <f>F79</f>
        <v>1500000</v>
      </c>
      <c r="G78" s="135">
        <f>G79</f>
        <v>1500000</v>
      </c>
      <c r="H78" s="135">
        <f>H79</f>
        <v>1500000</v>
      </c>
      <c r="I78" s="10"/>
      <c r="J78" s="2"/>
    </row>
    <row r="79" spans="1:10" ht="75.75" customHeight="1">
      <c r="A79" s="71" t="s">
        <v>367</v>
      </c>
      <c r="B79" s="143" t="s">
        <v>393</v>
      </c>
      <c r="C79" s="143" t="s">
        <v>422</v>
      </c>
      <c r="D79" s="143" t="s">
        <v>474</v>
      </c>
      <c r="E79" s="143"/>
      <c r="F79" s="137">
        <f>F80</f>
        <v>1500000</v>
      </c>
      <c r="G79" s="137">
        <f>G80</f>
        <v>1500000</v>
      </c>
      <c r="H79" s="137">
        <f>H80</f>
        <v>1500000</v>
      </c>
      <c r="I79" s="10"/>
      <c r="J79" s="2"/>
    </row>
    <row r="80" spans="1:10" ht="30.75" customHeight="1">
      <c r="A80" s="71" t="s">
        <v>265</v>
      </c>
      <c r="B80" s="143" t="s">
        <v>393</v>
      </c>
      <c r="C80" s="143" t="s">
        <v>422</v>
      </c>
      <c r="D80" s="143" t="s">
        <v>474</v>
      </c>
      <c r="E80" s="143" t="s">
        <v>330</v>
      </c>
      <c r="F80" s="137">
        <v>1500000</v>
      </c>
      <c r="G80" s="137">
        <v>1500000</v>
      </c>
      <c r="H80" s="137">
        <v>1500000</v>
      </c>
      <c r="I80" s="10"/>
      <c r="J80" s="2"/>
    </row>
    <row r="81" spans="1:10" ht="16.5" customHeight="1">
      <c r="A81" s="87" t="s">
        <v>386</v>
      </c>
      <c r="B81" s="134" t="s">
        <v>393</v>
      </c>
      <c r="C81" s="134" t="s">
        <v>422</v>
      </c>
      <c r="D81" s="138">
        <v>9900000000</v>
      </c>
      <c r="E81" s="132"/>
      <c r="F81" s="135">
        <f>F82+F86</f>
        <v>14186837.2</v>
      </c>
      <c r="G81" s="135">
        <f>G82+G86</f>
        <v>13737569</v>
      </c>
      <c r="H81" s="135">
        <f>H82+H86</f>
        <v>13917016</v>
      </c>
      <c r="I81" s="10"/>
      <c r="J81" s="2"/>
    </row>
    <row r="82" spans="1:10" ht="30.75" customHeight="1">
      <c r="A82" s="71" t="s">
        <v>388</v>
      </c>
      <c r="B82" s="143" t="s">
        <v>393</v>
      </c>
      <c r="C82" s="143" t="s">
        <v>422</v>
      </c>
      <c r="D82" s="146">
        <v>9910000000</v>
      </c>
      <c r="E82" s="144"/>
      <c r="F82" s="137">
        <f>SUM(F83:F85)</f>
        <v>12387137.2</v>
      </c>
      <c r="G82" s="137">
        <f>SUM(G83:G85)</f>
        <v>12737569</v>
      </c>
      <c r="H82" s="137">
        <f>SUM(H83:H85)</f>
        <v>12917016</v>
      </c>
      <c r="I82" s="10"/>
      <c r="J82" s="2"/>
    </row>
    <row r="83" spans="1:10" ht="75.75" customHeight="1">
      <c r="A83" s="71" t="s">
        <v>264</v>
      </c>
      <c r="B83" s="143" t="s">
        <v>393</v>
      </c>
      <c r="C83" s="143" t="s">
        <v>422</v>
      </c>
      <c r="D83" s="146">
        <v>9910000000</v>
      </c>
      <c r="E83" s="143" t="s">
        <v>299</v>
      </c>
      <c r="F83" s="137">
        <v>10488183.77</v>
      </c>
      <c r="G83" s="137">
        <v>10846620</v>
      </c>
      <c r="H83" s="137">
        <v>10890620</v>
      </c>
      <c r="I83" s="10"/>
      <c r="J83" s="2"/>
    </row>
    <row r="84" spans="1:10" ht="30.75" customHeight="1">
      <c r="A84" s="71" t="s">
        <v>265</v>
      </c>
      <c r="B84" s="143" t="s">
        <v>393</v>
      </c>
      <c r="C84" s="143" t="s">
        <v>422</v>
      </c>
      <c r="D84" s="146">
        <v>9910000000</v>
      </c>
      <c r="E84" s="143" t="s">
        <v>330</v>
      </c>
      <c r="F84" s="137">
        <v>1897953.43</v>
      </c>
      <c r="G84" s="137">
        <v>1889949</v>
      </c>
      <c r="H84" s="137">
        <v>2025396</v>
      </c>
      <c r="I84" s="10"/>
      <c r="J84" s="2"/>
    </row>
    <row r="85" spans="1:10" ht="16.5" customHeight="1">
      <c r="A85" s="71" t="s">
        <v>267</v>
      </c>
      <c r="B85" s="143" t="s">
        <v>393</v>
      </c>
      <c r="C85" s="143" t="s">
        <v>422</v>
      </c>
      <c r="D85" s="146">
        <v>9910000000</v>
      </c>
      <c r="E85" s="146">
        <v>800</v>
      </c>
      <c r="F85" s="137">
        <v>1000</v>
      </c>
      <c r="G85" s="137">
        <v>1000</v>
      </c>
      <c r="H85" s="137">
        <v>1000</v>
      </c>
      <c r="I85" s="10"/>
      <c r="J85" s="2"/>
    </row>
    <row r="86" spans="1:10" ht="16.5" customHeight="1">
      <c r="A86" s="71" t="s">
        <v>406</v>
      </c>
      <c r="B86" s="143" t="s">
        <v>393</v>
      </c>
      <c r="C86" s="143" t="s">
        <v>422</v>
      </c>
      <c r="D86" s="146">
        <v>9950000000</v>
      </c>
      <c r="E86" s="144"/>
      <c r="F86" s="137">
        <f>F87</f>
        <v>1799700</v>
      </c>
      <c r="G86" s="137">
        <f>G87</f>
        <v>1000000</v>
      </c>
      <c r="H86" s="137">
        <f>H87</f>
        <v>1000000</v>
      </c>
      <c r="I86" s="10"/>
      <c r="J86" s="2"/>
    </row>
    <row r="87" spans="1:10" ht="30.75" customHeight="1">
      <c r="A87" s="71" t="s">
        <v>265</v>
      </c>
      <c r="B87" s="143" t="s">
        <v>393</v>
      </c>
      <c r="C87" s="143" t="s">
        <v>422</v>
      </c>
      <c r="D87" s="146">
        <v>9950000000</v>
      </c>
      <c r="E87" s="146">
        <v>200</v>
      </c>
      <c r="F87" s="137">
        <v>1799700</v>
      </c>
      <c r="G87" s="137">
        <v>1000000</v>
      </c>
      <c r="H87" s="137">
        <v>1000000</v>
      </c>
      <c r="I87" s="10"/>
      <c r="J87" s="2"/>
    </row>
    <row r="88" spans="1:10" ht="16.5" customHeight="1">
      <c r="A88" s="87" t="s">
        <v>425</v>
      </c>
      <c r="B88" s="134" t="s">
        <v>397</v>
      </c>
      <c r="C88" s="134"/>
      <c r="D88" s="134"/>
      <c r="E88" s="134"/>
      <c r="F88" s="135">
        <f>F89+F93+F113+F120+F128+F124</f>
        <v>192096835.18</v>
      </c>
      <c r="G88" s="135">
        <f>G89+G93+G113+G120+G128</f>
        <v>118712604.69</v>
      </c>
      <c r="H88" s="135">
        <f>H89+H93+H113+H120+H128</f>
        <v>116392588.96</v>
      </c>
      <c r="I88" s="10"/>
      <c r="J88" s="2"/>
    </row>
    <row r="89" spans="1:10" ht="16.5" customHeight="1">
      <c r="A89" s="87" t="s">
        <v>426</v>
      </c>
      <c r="B89" s="134" t="s">
        <v>397</v>
      </c>
      <c r="C89" s="134" t="s">
        <v>383</v>
      </c>
      <c r="D89" s="134"/>
      <c r="E89" s="134"/>
      <c r="F89" s="135">
        <f>F90</f>
        <v>945563.9</v>
      </c>
      <c r="G89" s="135">
        <f>G90</f>
        <v>828848.24</v>
      </c>
      <c r="H89" s="135">
        <f>H90</f>
        <v>828848.24</v>
      </c>
      <c r="I89" s="10"/>
      <c r="J89" s="2"/>
    </row>
    <row r="90" spans="1:10" ht="16.5" customHeight="1">
      <c r="A90" s="87" t="s">
        <v>386</v>
      </c>
      <c r="B90" s="134" t="s">
        <v>397</v>
      </c>
      <c r="C90" s="134" t="s">
        <v>383</v>
      </c>
      <c r="D90" s="142">
        <v>9900000000</v>
      </c>
      <c r="E90" s="134"/>
      <c r="F90" s="135">
        <f>F91</f>
        <v>945563.9</v>
      </c>
      <c r="G90" s="135">
        <f>G91</f>
        <v>828848.24</v>
      </c>
      <c r="H90" s="135">
        <f>H91</f>
        <v>828848.24</v>
      </c>
      <c r="I90" s="10"/>
      <c r="J90" s="2"/>
    </row>
    <row r="91" spans="1:10" ht="30.75" customHeight="1">
      <c r="A91" s="71" t="s">
        <v>388</v>
      </c>
      <c r="B91" s="143" t="s">
        <v>397</v>
      </c>
      <c r="C91" s="143" t="s">
        <v>383</v>
      </c>
      <c r="D91" s="143" t="s">
        <v>389</v>
      </c>
      <c r="E91" s="143"/>
      <c r="F91" s="137">
        <f>F92</f>
        <v>945563.9</v>
      </c>
      <c r="G91" s="137">
        <f>G92</f>
        <v>828848.24</v>
      </c>
      <c r="H91" s="137">
        <f>H92</f>
        <v>828848.24</v>
      </c>
      <c r="I91" s="10"/>
      <c r="J91" s="2"/>
    </row>
    <row r="92" spans="1:10" ht="75.75" customHeight="1">
      <c r="A92" s="71" t="s">
        <v>264</v>
      </c>
      <c r="B92" s="143" t="s">
        <v>397</v>
      </c>
      <c r="C92" s="143" t="s">
        <v>383</v>
      </c>
      <c r="D92" s="143" t="s">
        <v>389</v>
      </c>
      <c r="E92" s="143" t="s">
        <v>299</v>
      </c>
      <c r="F92" s="137">
        <v>945563.9</v>
      </c>
      <c r="G92" s="137">
        <v>828848.24</v>
      </c>
      <c r="H92" s="137">
        <v>828848.24</v>
      </c>
      <c r="I92" s="10"/>
      <c r="J92" s="2"/>
    </row>
    <row r="93" spans="1:10" ht="16.5" customHeight="1">
      <c r="A93" s="87" t="s">
        <v>427</v>
      </c>
      <c r="B93" s="134" t="s">
        <v>397</v>
      </c>
      <c r="C93" s="134" t="s">
        <v>428</v>
      </c>
      <c r="D93" s="134"/>
      <c r="E93" s="134"/>
      <c r="F93" s="135">
        <f>F94+F108</f>
        <v>122310984.93</v>
      </c>
      <c r="G93" s="135">
        <f>G94+G108</f>
        <v>79985030.95</v>
      </c>
      <c r="H93" s="135">
        <f>H94+H108</f>
        <v>82808305.22</v>
      </c>
      <c r="I93" s="10"/>
      <c r="J93" s="2"/>
    </row>
    <row r="94" spans="1:10" ht="63" customHeight="1">
      <c r="A94" s="87" t="s">
        <v>295</v>
      </c>
      <c r="B94" s="134" t="s">
        <v>397</v>
      </c>
      <c r="C94" s="134" t="s">
        <v>428</v>
      </c>
      <c r="D94" s="134" t="s">
        <v>296</v>
      </c>
      <c r="E94" s="134"/>
      <c r="F94" s="135">
        <f>F95+F98+F102+F104+F106+F100</f>
        <v>110951553.51</v>
      </c>
      <c r="G94" s="135">
        <f>G95+G98+G102+G104+G106+G100</f>
        <v>74479658.08</v>
      </c>
      <c r="H94" s="135">
        <f>H95+H98+H102+H104+H106+H100</f>
        <v>77302932.35</v>
      </c>
      <c r="I94" s="10"/>
      <c r="J94" s="2"/>
    </row>
    <row r="95" spans="1:10" ht="16.5" customHeight="1">
      <c r="A95" s="71" t="s">
        <v>297</v>
      </c>
      <c r="B95" s="143" t="s">
        <v>397</v>
      </c>
      <c r="C95" s="143" t="s">
        <v>428</v>
      </c>
      <c r="D95" s="143" t="s">
        <v>298</v>
      </c>
      <c r="E95" s="143"/>
      <c r="F95" s="137">
        <f>F96+F97</f>
        <v>2934301.78</v>
      </c>
      <c r="G95" s="137">
        <f>G96+G97</f>
        <v>2744658.08</v>
      </c>
      <c r="H95" s="137">
        <f>H96+H97</f>
        <v>2767433.35</v>
      </c>
      <c r="I95" s="10"/>
      <c r="J95" s="2"/>
    </row>
    <row r="96" spans="1:10" ht="75.75" customHeight="1">
      <c r="A96" s="71" t="s">
        <v>264</v>
      </c>
      <c r="B96" s="143" t="s">
        <v>397</v>
      </c>
      <c r="C96" s="143" t="s">
        <v>428</v>
      </c>
      <c r="D96" s="143" t="s">
        <v>298</v>
      </c>
      <c r="E96" s="143" t="s">
        <v>299</v>
      </c>
      <c r="F96" s="137">
        <v>1593596.79</v>
      </c>
      <c r="G96" s="137">
        <v>1326085.12</v>
      </c>
      <c r="H96" s="137">
        <v>1326085.12</v>
      </c>
      <c r="I96" s="10"/>
      <c r="J96" s="2"/>
    </row>
    <row r="97" spans="1:10" ht="30.75" customHeight="1">
      <c r="A97" s="71" t="s">
        <v>265</v>
      </c>
      <c r="B97" s="143" t="s">
        <v>397</v>
      </c>
      <c r="C97" s="143" t="s">
        <v>428</v>
      </c>
      <c r="D97" s="143" t="s">
        <v>298</v>
      </c>
      <c r="E97" s="161">
        <v>200</v>
      </c>
      <c r="F97" s="137">
        <v>1340704.99</v>
      </c>
      <c r="G97" s="137">
        <v>1418572.96</v>
      </c>
      <c r="H97" s="137">
        <v>1441348.23</v>
      </c>
      <c r="I97" s="10"/>
      <c r="J97" s="2"/>
    </row>
    <row r="98" spans="1:10" ht="16.5" customHeight="1">
      <c r="A98" s="71" t="s">
        <v>300</v>
      </c>
      <c r="B98" s="143" t="s">
        <v>397</v>
      </c>
      <c r="C98" s="143" t="s">
        <v>428</v>
      </c>
      <c r="D98" s="143" t="s">
        <v>301</v>
      </c>
      <c r="E98" s="162"/>
      <c r="F98" s="137">
        <f>F99</f>
        <v>84680612.65</v>
      </c>
      <c r="G98" s="137">
        <f>G99</f>
        <v>61735000</v>
      </c>
      <c r="H98" s="137">
        <f>H99</f>
        <v>60585000</v>
      </c>
      <c r="I98" s="10"/>
      <c r="J98" s="2"/>
    </row>
    <row r="99" spans="1:10" ht="16.5" customHeight="1">
      <c r="A99" s="71" t="s">
        <v>267</v>
      </c>
      <c r="B99" s="143" t="s">
        <v>397</v>
      </c>
      <c r="C99" s="143" t="s">
        <v>428</v>
      </c>
      <c r="D99" s="143" t="s">
        <v>301</v>
      </c>
      <c r="E99" s="161">
        <v>800</v>
      </c>
      <c r="F99" s="137">
        <v>84680612.65</v>
      </c>
      <c r="G99" s="137">
        <v>61735000</v>
      </c>
      <c r="H99" s="137">
        <v>60585000</v>
      </c>
      <c r="I99" s="10"/>
      <c r="J99" s="2"/>
    </row>
    <row r="100" spans="1:10" ht="16.5" customHeight="1">
      <c r="A100" s="71" t="s">
        <v>475</v>
      </c>
      <c r="B100" s="143" t="s">
        <v>397</v>
      </c>
      <c r="C100" s="143" t="s">
        <v>428</v>
      </c>
      <c r="D100" s="143" t="s">
        <v>303</v>
      </c>
      <c r="E100" s="162"/>
      <c r="F100" s="137">
        <f>F101</f>
        <v>235200</v>
      </c>
      <c r="G100" s="137">
        <f>G101</f>
        <v>0</v>
      </c>
      <c r="H100" s="137">
        <f>H101</f>
        <v>3950499</v>
      </c>
      <c r="I100" s="10"/>
      <c r="J100" s="2"/>
    </row>
    <row r="101" spans="1:10" ht="16.5" customHeight="1">
      <c r="A101" s="71" t="s">
        <v>267</v>
      </c>
      <c r="B101" s="143" t="s">
        <v>397</v>
      </c>
      <c r="C101" s="143" t="s">
        <v>428</v>
      </c>
      <c r="D101" s="143" t="s">
        <v>303</v>
      </c>
      <c r="E101" s="161">
        <v>800</v>
      </c>
      <c r="F101" s="137">
        <v>235200</v>
      </c>
      <c r="G101" s="137">
        <v>0</v>
      </c>
      <c r="H101" s="137">
        <v>3950499</v>
      </c>
      <c r="I101" s="10"/>
      <c r="J101" s="2"/>
    </row>
    <row r="102" spans="1:10" ht="16.5" customHeight="1">
      <c r="A102" s="71" t="s">
        <v>304</v>
      </c>
      <c r="B102" s="143" t="s">
        <v>397</v>
      </c>
      <c r="C102" s="143" t="s">
        <v>428</v>
      </c>
      <c r="D102" s="143" t="s">
        <v>305</v>
      </c>
      <c r="E102" s="162"/>
      <c r="F102" s="137">
        <f>F103</f>
        <v>8949439.08</v>
      </c>
      <c r="G102" s="137">
        <f>G103</f>
        <v>0</v>
      </c>
      <c r="H102" s="137">
        <f>H103</f>
        <v>0</v>
      </c>
      <c r="I102" s="10"/>
      <c r="J102" s="2"/>
    </row>
    <row r="103" spans="1:10" ht="16.5" customHeight="1">
      <c r="A103" s="71" t="s">
        <v>267</v>
      </c>
      <c r="B103" s="143" t="s">
        <v>397</v>
      </c>
      <c r="C103" s="143" t="s">
        <v>428</v>
      </c>
      <c r="D103" s="143" t="s">
        <v>305</v>
      </c>
      <c r="E103" s="143" t="s">
        <v>306</v>
      </c>
      <c r="F103" s="137">
        <v>8949439.08</v>
      </c>
      <c r="G103" s="137">
        <v>0</v>
      </c>
      <c r="H103" s="137">
        <v>0</v>
      </c>
      <c r="I103" s="10"/>
      <c r="J103" s="2"/>
    </row>
    <row r="104" spans="1:10" ht="16.5" customHeight="1">
      <c r="A104" s="71" t="s">
        <v>307</v>
      </c>
      <c r="B104" s="143" t="s">
        <v>397</v>
      </c>
      <c r="C104" s="143" t="s">
        <v>428</v>
      </c>
      <c r="D104" s="143" t="s">
        <v>308</v>
      </c>
      <c r="E104" s="143"/>
      <c r="F104" s="137">
        <f>F105</f>
        <v>10000000</v>
      </c>
      <c r="G104" s="137">
        <f>G105</f>
        <v>10000000</v>
      </c>
      <c r="H104" s="137">
        <f>H105</f>
        <v>10000000</v>
      </c>
      <c r="I104" s="10"/>
      <c r="J104" s="2"/>
    </row>
    <row r="105" spans="1:10" ht="16.5" customHeight="1">
      <c r="A105" s="71" t="s">
        <v>267</v>
      </c>
      <c r="B105" s="143" t="s">
        <v>397</v>
      </c>
      <c r="C105" s="143" t="s">
        <v>428</v>
      </c>
      <c r="D105" s="143" t="s">
        <v>308</v>
      </c>
      <c r="E105" s="143" t="s">
        <v>306</v>
      </c>
      <c r="F105" s="137">
        <v>10000000</v>
      </c>
      <c r="G105" s="137">
        <v>10000000</v>
      </c>
      <c r="H105" s="137">
        <v>10000000</v>
      </c>
      <c r="I105" s="10"/>
      <c r="J105" s="2"/>
    </row>
    <row r="106" spans="1:10" ht="30.75" customHeight="1">
      <c r="A106" s="71" t="s">
        <v>309</v>
      </c>
      <c r="B106" s="143" t="s">
        <v>397</v>
      </c>
      <c r="C106" s="143" t="s">
        <v>428</v>
      </c>
      <c r="D106" s="143" t="s">
        <v>310</v>
      </c>
      <c r="E106" s="143"/>
      <c r="F106" s="137">
        <f>F107</f>
        <v>4152000</v>
      </c>
      <c r="G106" s="137">
        <f>G107</f>
        <v>0</v>
      </c>
      <c r="H106" s="137">
        <f>H107</f>
        <v>0</v>
      </c>
      <c r="I106" s="10"/>
      <c r="J106" s="2"/>
    </row>
    <row r="107" spans="1:10" ht="16.5" customHeight="1">
      <c r="A107" s="71" t="s">
        <v>267</v>
      </c>
      <c r="B107" s="143" t="s">
        <v>397</v>
      </c>
      <c r="C107" s="143" t="s">
        <v>428</v>
      </c>
      <c r="D107" s="143" t="s">
        <v>310</v>
      </c>
      <c r="E107" s="146">
        <v>800</v>
      </c>
      <c r="F107" s="137">
        <v>4152000</v>
      </c>
      <c r="G107" s="137">
        <v>0</v>
      </c>
      <c r="H107" s="137">
        <v>0</v>
      </c>
      <c r="I107" s="10"/>
      <c r="J107" s="2"/>
    </row>
    <row r="108" spans="1:10" ht="16.5" customHeight="1">
      <c r="A108" s="87" t="s">
        <v>386</v>
      </c>
      <c r="B108" s="134" t="s">
        <v>397</v>
      </c>
      <c r="C108" s="134" t="s">
        <v>428</v>
      </c>
      <c r="D108" s="142">
        <v>9900000000</v>
      </c>
      <c r="E108" s="144"/>
      <c r="F108" s="137">
        <f>F109+F111</f>
        <v>11359431.42</v>
      </c>
      <c r="G108" s="137">
        <f>G109+G111</f>
        <v>5505372.87</v>
      </c>
      <c r="H108" s="137">
        <f>H109+H111</f>
        <v>5505372.87</v>
      </c>
      <c r="I108" s="10"/>
      <c r="J108" s="2"/>
    </row>
    <row r="109" spans="1:10" ht="30.75" customHeight="1">
      <c r="A109" s="71" t="s">
        <v>388</v>
      </c>
      <c r="B109" s="143" t="s">
        <v>397</v>
      </c>
      <c r="C109" s="143" t="s">
        <v>428</v>
      </c>
      <c r="D109" s="161">
        <v>9910000000</v>
      </c>
      <c r="E109" s="144"/>
      <c r="F109" s="137">
        <f>F110</f>
        <v>4859431.42</v>
      </c>
      <c r="G109" s="137">
        <f>G110</f>
        <v>5505372.87</v>
      </c>
      <c r="H109" s="137">
        <f>H110</f>
        <v>5505372.87</v>
      </c>
      <c r="I109" s="10"/>
      <c r="J109" s="2"/>
    </row>
    <row r="110" spans="1:10" ht="75.75" customHeight="1">
      <c r="A110" s="71" t="s">
        <v>264</v>
      </c>
      <c r="B110" s="143" t="s">
        <v>397</v>
      </c>
      <c r="C110" s="143" t="s">
        <v>428</v>
      </c>
      <c r="D110" s="161">
        <v>9910000000</v>
      </c>
      <c r="E110" s="163" t="s">
        <v>299</v>
      </c>
      <c r="F110" s="137">
        <v>4859431.42</v>
      </c>
      <c r="G110" s="137">
        <v>5505372.87</v>
      </c>
      <c r="H110" s="137">
        <v>5505372.87</v>
      </c>
      <c r="I110" s="10"/>
      <c r="J110" s="2"/>
    </row>
    <row r="111" spans="1:10" ht="16.5" customHeight="1">
      <c r="A111" s="71" t="s">
        <v>406</v>
      </c>
      <c r="B111" s="143" t="s">
        <v>397</v>
      </c>
      <c r="C111" s="143" t="s">
        <v>428</v>
      </c>
      <c r="D111" s="143" t="s">
        <v>407</v>
      </c>
      <c r="E111" s="144"/>
      <c r="F111" s="137">
        <f>F112</f>
        <v>6500000</v>
      </c>
      <c r="G111" s="137">
        <f>G112</f>
        <v>0</v>
      </c>
      <c r="H111" s="137">
        <f>H112</f>
        <v>0</v>
      </c>
      <c r="I111" s="10"/>
      <c r="J111" s="2"/>
    </row>
    <row r="112" spans="1:10" ht="16.5" customHeight="1">
      <c r="A112" s="71" t="s">
        <v>267</v>
      </c>
      <c r="B112" s="143" t="s">
        <v>397</v>
      </c>
      <c r="C112" s="143" t="s">
        <v>428</v>
      </c>
      <c r="D112" s="143" t="s">
        <v>407</v>
      </c>
      <c r="E112" s="146">
        <v>800</v>
      </c>
      <c r="F112" s="137">
        <v>6500000</v>
      </c>
      <c r="G112" s="137">
        <v>0</v>
      </c>
      <c r="H112" s="137">
        <v>0</v>
      </c>
      <c r="I112" s="10"/>
      <c r="J112" s="2"/>
    </row>
    <row r="113" spans="1:10" ht="18" customHeight="1">
      <c r="A113" s="87" t="s">
        <v>476</v>
      </c>
      <c r="B113" s="134" t="s">
        <v>397</v>
      </c>
      <c r="C113" s="134" t="s">
        <v>445</v>
      </c>
      <c r="D113" s="132"/>
      <c r="E113" s="132"/>
      <c r="F113" s="135">
        <f>F114</f>
        <v>16872000</v>
      </c>
      <c r="G113" s="135">
        <f>G114</f>
        <v>17150000</v>
      </c>
      <c r="H113" s="135">
        <f>H114</f>
        <v>17150000</v>
      </c>
      <c r="I113" s="10"/>
      <c r="J113" s="2"/>
    </row>
    <row r="114" spans="1:10" ht="34.5" customHeight="1">
      <c r="A114" s="87" t="s">
        <v>311</v>
      </c>
      <c r="B114" s="134" t="s">
        <v>397</v>
      </c>
      <c r="C114" s="134" t="s">
        <v>445</v>
      </c>
      <c r="D114" s="164" t="s">
        <v>312</v>
      </c>
      <c r="E114" s="132"/>
      <c r="F114" s="135">
        <f>F115+F117</f>
        <v>16872000</v>
      </c>
      <c r="G114" s="135">
        <f>G115+G117</f>
        <v>17150000</v>
      </c>
      <c r="H114" s="135">
        <f>H115+H117</f>
        <v>17150000</v>
      </c>
      <c r="I114" s="10"/>
      <c r="J114" s="2"/>
    </row>
    <row r="115" spans="1:10" ht="16.5" customHeight="1">
      <c r="A115" s="71" t="s">
        <v>313</v>
      </c>
      <c r="B115" s="143" t="s">
        <v>397</v>
      </c>
      <c r="C115" s="143" t="s">
        <v>445</v>
      </c>
      <c r="D115" s="163" t="s">
        <v>314</v>
      </c>
      <c r="E115" s="144"/>
      <c r="F115" s="137">
        <f>F116</f>
        <v>2000000</v>
      </c>
      <c r="G115" s="137">
        <f>G116</f>
        <v>4000000</v>
      </c>
      <c r="H115" s="137">
        <f>H116</f>
        <v>4000000</v>
      </c>
      <c r="I115" s="10"/>
      <c r="J115" s="2"/>
    </row>
    <row r="116" spans="1:10" ht="30.75" customHeight="1">
      <c r="A116" s="71" t="s">
        <v>265</v>
      </c>
      <c r="B116" s="143" t="s">
        <v>397</v>
      </c>
      <c r="C116" s="143" t="s">
        <v>445</v>
      </c>
      <c r="D116" s="163" t="s">
        <v>314</v>
      </c>
      <c r="E116" s="146">
        <v>800</v>
      </c>
      <c r="F116" s="137">
        <v>2000000</v>
      </c>
      <c r="G116" s="137">
        <v>4000000</v>
      </c>
      <c r="H116" s="137">
        <v>4000000</v>
      </c>
      <c r="I116" s="10"/>
      <c r="J116" s="2"/>
    </row>
    <row r="117" spans="1:10" ht="21" customHeight="1">
      <c r="A117" s="71" t="s">
        <v>315</v>
      </c>
      <c r="B117" s="143" t="s">
        <v>397</v>
      </c>
      <c r="C117" s="143" t="s">
        <v>445</v>
      </c>
      <c r="D117" s="163" t="s">
        <v>316</v>
      </c>
      <c r="E117" s="144"/>
      <c r="F117" s="137">
        <f>F118+F119</f>
        <v>14872000</v>
      </c>
      <c r="G117" s="137">
        <f>G118+G119</f>
        <v>13150000</v>
      </c>
      <c r="H117" s="137">
        <f>H118+H119</f>
        <v>13150000</v>
      </c>
      <c r="I117" s="10"/>
      <c r="J117" s="2"/>
    </row>
    <row r="118" spans="1:10" ht="31.5" customHeight="1">
      <c r="A118" s="71" t="s">
        <v>265</v>
      </c>
      <c r="B118" s="143" t="s">
        <v>397</v>
      </c>
      <c r="C118" s="143" t="s">
        <v>445</v>
      </c>
      <c r="D118" s="163" t="s">
        <v>316</v>
      </c>
      <c r="E118" s="146">
        <v>200</v>
      </c>
      <c r="F118" s="137">
        <v>0</v>
      </c>
      <c r="G118" s="137">
        <v>150000</v>
      </c>
      <c r="H118" s="137">
        <v>150000</v>
      </c>
      <c r="I118" s="10"/>
      <c r="J118" s="2"/>
    </row>
    <row r="119" spans="1:10" ht="15.75" customHeight="1">
      <c r="A119" s="71" t="s">
        <v>267</v>
      </c>
      <c r="B119" s="143" t="s">
        <v>397</v>
      </c>
      <c r="C119" s="143" t="s">
        <v>445</v>
      </c>
      <c r="D119" s="163" t="s">
        <v>316</v>
      </c>
      <c r="E119" s="146">
        <v>800</v>
      </c>
      <c r="F119" s="137">
        <v>14872000</v>
      </c>
      <c r="G119" s="137">
        <v>13000000</v>
      </c>
      <c r="H119" s="137">
        <v>13000000</v>
      </c>
      <c r="I119" s="10"/>
      <c r="J119" s="2"/>
    </row>
    <row r="120" spans="1:10" ht="18" customHeight="1">
      <c r="A120" s="87" t="s">
        <v>477</v>
      </c>
      <c r="B120" s="134" t="s">
        <v>397</v>
      </c>
      <c r="C120" s="134" t="s">
        <v>443</v>
      </c>
      <c r="D120" s="132"/>
      <c r="E120" s="132"/>
      <c r="F120" s="135">
        <f>F121</f>
        <v>36278786.35</v>
      </c>
      <c r="G120" s="135">
        <f>G121</f>
        <v>15605435.5</v>
      </c>
      <c r="H120" s="135">
        <f>H121</f>
        <v>15605435.5</v>
      </c>
      <c r="I120" s="10"/>
      <c r="J120" s="2"/>
    </row>
    <row r="121" spans="1:10" ht="30.75" customHeight="1">
      <c r="A121" s="87" t="s">
        <v>311</v>
      </c>
      <c r="B121" s="134" t="s">
        <v>397</v>
      </c>
      <c r="C121" s="134" t="s">
        <v>443</v>
      </c>
      <c r="D121" s="164" t="s">
        <v>312</v>
      </c>
      <c r="E121" s="132"/>
      <c r="F121" s="135">
        <f>F122</f>
        <v>36278786.35</v>
      </c>
      <c r="G121" s="135">
        <f>G122</f>
        <v>15605435.5</v>
      </c>
      <c r="H121" s="135">
        <f>H122</f>
        <v>15605435.5</v>
      </c>
      <c r="I121" s="10"/>
      <c r="J121" s="2"/>
    </row>
    <row r="122" spans="1:10" ht="16.5" customHeight="1">
      <c r="A122" s="71" t="s">
        <v>317</v>
      </c>
      <c r="B122" s="143" t="s">
        <v>397</v>
      </c>
      <c r="C122" s="143" t="s">
        <v>443</v>
      </c>
      <c r="D122" s="163" t="s">
        <v>318</v>
      </c>
      <c r="E122" s="144"/>
      <c r="F122" s="137">
        <f>F123</f>
        <v>36278786.35</v>
      </c>
      <c r="G122" s="137">
        <f>G123</f>
        <v>15605435.5</v>
      </c>
      <c r="H122" s="137">
        <f>H123</f>
        <v>15605435.5</v>
      </c>
      <c r="I122" s="10"/>
      <c r="J122" s="2"/>
    </row>
    <row r="123" spans="1:10" ht="30.75" customHeight="1">
      <c r="A123" s="71" t="s">
        <v>265</v>
      </c>
      <c r="B123" s="143" t="s">
        <v>397</v>
      </c>
      <c r="C123" s="143" t="s">
        <v>443</v>
      </c>
      <c r="D123" s="163" t="s">
        <v>318</v>
      </c>
      <c r="E123" s="146">
        <v>200</v>
      </c>
      <c r="F123" s="137">
        <v>36278786.35</v>
      </c>
      <c r="G123" s="137">
        <v>15605435.5</v>
      </c>
      <c r="H123" s="137">
        <v>15605435.5</v>
      </c>
      <c r="I123" s="10"/>
      <c r="J123" s="2"/>
    </row>
    <row r="124" spans="1:10" ht="16.5" customHeight="1">
      <c r="A124" s="87" t="s">
        <v>430</v>
      </c>
      <c r="B124" s="134" t="s">
        <v>397</v>
      </c>
      <c r="C124" s="134" t="s">
        <v>422</v>
      </c>
      <c r="D124" s="134"/>
      <c r="E124" s="132"/>
      <c r="F124" s="135">
        <f>F125</f>
        <v>14000000</v>
      </c>
      <c r="G124" s="135">
        <f>G125</f>
        <v>0</v>
      </c>
      <c r="H124" s="135">
        <f>H125</f>
        <v>0</v>
      </c>
      <c r="I124" s="10"/>
      <c r="J124" s="2"/>
    </row>
    <row r="125" spans="1:10" ht="16.5" customHeight="1">
      <c r="A125" s="87" t="s">
        <v>386</v>
      </c>
      <c r="B125" s="134" t="s">
        <v>397</v>
      </c>
      <c r="C125" s="134" t="s">
        <v>422</v>
      </c>
      <c r="D125" s="134" t="s">
        <v>387</v>
      </c>
      <c r="E125" s="132"/>
      <c r="F125" s="135">
        <f>F126</f>
        <v>14000000</v>
      </c>
      <c r="G125" s="135">
        <f>G126</f>
        <v>0</v>
      </c>
      <c r="H125" s="135">
        <f>H126</f>
        <v>0</v>
      </c>
      <c r="I125" s="10"/>
      <c r="J125" s="2"/>
    </row>
    <row r="126" spans="1:10" ht="16.5" customHeight="1">
      <c r="A126" s="87" t="s">
        <v>406</v>
      </c>
      <c r="B126" s="143" t="s">
        <v>397</v>
      </c>
      <c r="C126" s="143" t="s">
        <v>422</v>
      </c>
      <c r="D126" s="143" t="s">
        <v>407</v>
      </c>
      <c r="E126" s="144"/>
      <c r="F126" s="137">
        <f>F127</f>
        <v>14000000</v>
      </c>
      <c r="G126" s="137">
        <f>G127</f>
        <v>0</v>
      </c>
      <c r="H126" s="137">
        <f>H127</f>
        <v>0</v>
      </c>
      <c r="I126" s="10"/>
      <c r="J126" s="2"/>
    </row>
    <row r="127" spans="1:10" ht="30.75" customHeight="1">
      <c r="A127" s="71" t="s">
        <v>265</v>
      </c>
      <c r="B127" s="143" t="s">
        <v>397</v>
      </c>
      <c r="C127" s="143" t="s">
        <v>422</v>
      </c>
      <c r="D127" s="143" t="s">
        <v>407</v>
      </c>
      <c r="E127" s="146">
        <v>200</v>
      </c>
      <c r="F127" s="137">
        <v>14000000</v>
      </c>
      <c r="G127" s="137">
        <v>0</v>
      </c>
      <c r="H127" s="137">
        <v>0</v>
      </c>
      <c r="I127" s="10"/>
      <c r="J127" s="2"/>
    </row>
    <row r="128" spans="1:10" ht="31.5" customHeight="1">
      <c r="A128" s="87" t="s">
        <v>478</v>
      </c>
      <c r="B128" s="134" t="s">
        <v>397</v>
      </c>
      <c r="C128" s="134" t="s">
        <v>479</v>
      </c>
      <c r="D128" s="132"/>
      <c r="E128" s="132"/>
      <c r="F128" s="135">
        <f>F129</f>
        <v>1689500</v>
      </c>
      <c r="G128" s="135">
        <f>G129</f>
        <v>5143290</v>
      </c>
      <c r="H128" s="135">
        <f>H129</f>
        <v>0</v>
      </c>
      <c r="I128" s="10"/>
      <c r="J128" s="2"/>
    </row>
    <row r="129" spans="1:10" ht="42.75" customHeight="1">
      <c r="A129" s="87" t="s">
        <v>291</v>
      </c>
      <c r="B129" s="134" t="s">
        <v>397</v>
      </c>
      <c r="C129" s="134" t="s">
        <v>479</v>
      </c>
      <c r="D129" s="164" t="s">
        <v>292</v>
      </c>
      <c r="E129" s="132"/>
      <c r="F129" s="135">
        <f>F130</f>
        <v>1689500</v>
      </c>
      <c r="G129" s="135">
        <f>G130</f>
        <v>5143290</v>
      </c>
      <c r="H129" s="135">
        <f>H130</f>
        <v>0</v>
      </c>
      <c r="I129" s="165"/>
      <c r="J129" s="166"/>
    </row>
    <row r="130" spans="1:10" ht="16.5" customHeight="1">
      <c r="A130" s="71" t="s">
        <v>480</v>
      </c>
      <c r="B130" s="143" t="s">
        <v>397</v>
      </c>
      <c r="C130" s="143" t="s">
        <v>479</v>
      </c>
      <c r="D130" s="163" t="s">
        <v>294</v>
      </c>
      <c r="E130" s="144"/>
      <c r="F130" s="137">
        <f>F131+F132+F133</f>
        <v>1689500</v>
      </c>
      <c r="G130" s="137">
        <f>G131+G132+G133</f>
        <v>5143290</v>
      </c>
      <c r="H130" s="137">
        <f>H131+H132+H133</f>
        <v>0</v>
      </c>
      <c r="I130" s="165"/>
      <c r="J130" s="166"/>
    </row>
    <row r="131" spans="1:10" ht="30.75" customHeight="1">
      <c r="A131" s="71" t="s">
        <v>265</v>
      </c>
      <c r="B131" s="143" t="s">
        <v>397</v>
      </c>
      <c r="C131" s="143" t="s">
        <v>479</v>
      </c>
      <c r="D131" s="163" t="s">
        <v>294</v>
      </c>
      <c r="E131" s="146">
        <v>200</v>
      </c>
      <c r="F131" s="137">
        <v>0</v>
      </c>
      <c r="G131" s="137">
        <v>483290</v>
      </c>
      <c r="H131" s="137">
        <v>0</v>
      </c>
      <c r="I131" s="165"/>
      <c r="J131" s="166"/>
    </row>
    <row r="132" spans="1:10" ht="21.75" customHeight="1">
      <c r="A132" s="71" t="s">
        <v>266</v>
      </c>
      <c r="B132" s="143" t="s">
        <v>397</v>
      </c>
      <c r="C132" s="143" t="s">
        <v>479</v>
      </c>
      <c r="D132" s="163" t="s">
        <v>294</v>
      </c>
      <c r="E132" s="146">
        <v>300</v>
      </c>
      <c r="F132" s="137">
        <v>0</v>
      </c>
      <c r="G132" s="137">
        <v>60000</v>
      </c>
      <c r="H132" s="137">
        <v>0</v>
      </c>
      <c r="I132" s="165"/>
      <c r="J132" s="166"/>
    </row>
    <row r="133" spans="1:10" ht="16.5" customHeight="1">
      <c r="A133" s="71" t="s">
        <v>267</v>
      </c>
      <c r="B133" s="143" t="s">
        <v>397</v>
      </c>
      <c r="C133" s="143" t="s">
        <v>479</v>
      </c>
      <c r="D133" s="163" t="s">
        <v>294</v>
      </c>
      <c r="E133" s="146">
        <v>800</v>
      </c>
      <c r="F133" s="137">
        <v>1689500</v>
      </c>
      <c r="G133" s="137">
        <v>4600000</v>
      </c>
      <c r="H133" s="137">
        <v>0</v>
      </c>
      <c r="I133" s="165"/>
      <c r="J133" s="166"/>
    </row>
    <row r="134" spans="1:10" ht="16.5" customHeight="1">
      <c r="A134" s="87" t="s">
        <v>431</v>
      </c>
      <c r="B134" s="134" t="s">
        <v>428</v>
      </c>
      <c r="C134" s="134"/>
      <c r="D134" s="164"/>
      <c r="E134" s="132"/>
      <c r="F134" s="135">
        <f>F140+F135</f>
        <v>11632236.8</v>
      </c>
      <c r="G134" s="135">
        <f>G140+G135</f>
        <v>0</v>
      </c>
      <c r="H134" s="135">
        <f>H140+H135</f>
        <v>0</v>
      </c>
      <c r="I134" s="165"/>
      <c r="J134" s="166"/>
    </row>
    <row r="135" spans="1:10" ht="16.5" customHeight="1">
      <c r="A135" s="87" t="s">
        <v>432</v>
      </c>
      <c r="B135" s="134" t="s">
        <v>428</v>
      </c>
      <c r="C135" s="134" t="s">
        <v>383</v>
      </c>
      <c r="D135" s="134"/>
      <c r="E135" s="132"/>
      <c r="F135" s="135">
        <f>F136</f>
        <v>1821800</v>
      </c>
      <c r="G135" s="135">
        <f>G136</f>
        <v>0</v>
      </c>
      <c r="H135" s="135">
        <f>H136</f>
        <v>0</v>
      </c>
      <c r="I135" s="165"/>
      <c r="J135" s="166"/>
    </row>
    <row r="136" spans="1:10" ht="16.5" customHeight="1">
      <c r="A136" s="87" t="s">
        <v>386</v>
      </c>
      <c r="B136" s="134" t="s">
        <v>428</v>
      </c>
      <c r="C136" s="134" t="s">
        <v>383</v>
      </c>
      <c r="D136" s="134" t="s">
        <v>387</v>
      </c>
      <c r="E136" s="132"/>
      <c r="F136" s="135">
        <f>F137</f>
        <v>1821800</v>
      </c>
      <c r="G136" s="135">
        <f>G137</f>
        <v>0</v>
      </c>
      <c r="H136" s="135">
        <f>H137</f>
        <v>0</v>
      </c>
      <c r="I136" s="165"/>
      <c r="J136" s="166"/>
    </row>
    <row r="137" spans="1:10" ht="16.5" customHeight="1">
      <c r="A137" s="71" t="s">
        <v>406</v>
      </c>
      <c r="B137" s="143" t="s">
        <v>428</v>
      </c>
      <c r="C137" s="143" t="s">
        <v>383</v>
      </c>
      <c r="D137" s="143" t="s">
        <v>407</v>
      </c>
      <c r="E137" s="144"/>
      <c r="F137" s="137">
        <f>F138+F139</f>
        <v>1821800</v>
      </c>
      <c r="G137" s="137">
        <f>G138+G139</f>
        <v>0</v>
      </c>
      <c r="H137" s="137">
        <f>H138+H139</f>
        <v>0</v>
      </c>
      <c r="I137" s="165"/>
      <c r="J137" s="166"/>
    </row>
    <row r="138" spans="1:10" ht="30.75" customHeight="1">
      <c r="A138" s="71" t="s">
        <v>265</v>
      </c>
      <c r="B138" s="143" t="s">
        <v>428</v>
      </c>
      <c r="C138" s="143" t="s">
        <v>383</v>
      </c>
      <c r="D138" s="143" t="s">
        <v>407</v>
      </c>
      <c r="E138" s="146">
        <v>200</v>
      </c>
      <c r="F138" s="137">
        <v>0</v>
      </c>
      <c r="G138" s="137">
        <v>0</v>
      </c>
      <c r="H138" s="137">
        <v>0</v>
      </c>
      <c r="I138" s="165"/>
      <c r="J138" s="166"/>
    </row>
    <row r="139" spans="1:10" ht="30.75" customHeight="1">
      <c r="A139" s="71" t="s">
        <v>274</v>
      </c>
      <c r="B139" s="143" t="s">
        <v>428</v>
      </c>
      <c r="C139" s="143" t="s">
        <v>383</v>
      </c>
      <c r="D139" s="143" t="s">
        <v>407</v>
      </c>
      <c r="E139" s="146">
        <v>600</v>
      </c>
      <c r="F139" s="137">
        <v>1821800</v>
      </c>
      <c r="G139" s="137">
        <v>0</v>
      </c>
      <c r="H139" s="137">
        <v>0</v>
      </c>
      <c r="I139" s="165"/>
      <c r="J139" s="166"/>
    </row>
    <row r="140" spans="1:10" ht="16.5" customHeight="1">
      <c r="A140" s="87" t="s">
        <v>435</v>
      </c>
      <c r="B140" s="134" t="s">
        <v>428</v>
      </c>
      <c r="C140" s="134" t="s">
        <v>393</v>
      </c>
      <c r="D140" s="164"/>
      <c r="E140" s="132"/>
      <c r="F140" s="135">
        <f>F141</f>
        <v>9810436.8</v>
      </c>
      <c r="G140" s="135">
        <f>G141</f>
        <v>0</v>
      </c>
      <c r="H140" s="135">
        <f>H141</f>
        <v>0</v>
      </c>
      <c r="I140" s="165"/>
      <c r="J140" s="166"/>
    </row>
    <row r="141" spans="1:10" ht="16.5" customHeight="1">
      <c r="A141" s="87" t="s">
        <v>386</v>
      </c>
      <c r="B141" s="134" t="s">
        <v>428</v>
      </c>
      <c r="C141" s="134" t="s">
        <v>393</v>
      </c>
      <c r="D141" s="164" t="s">
        <v>387</v>
      </c>
      <c r="E141" s="132"/>
      <c r="F141" s="135">
        <f>F142</f>
        <v>9810436.8</v>
      </c>
      <c r="G141" s="135">
        <f>G142</f>
        <v>0</v>
      </c>
      <c r="H141" s="135">
        <f>H142</f>
        <v>0</v>
      </c>
      <c r="I141" s="165"/>
      <c r="J141" s="166"/>
    </row>
    <row r="142" spans="1:10" ht="16.5" customHeight="1">
      <c r="A142" s="71" t="s">
        <v>406</v>
      </c>
      <c r="B142" s="143" t="s">
        <v>428</v>
      </c>
      <c r="C142" s="143" t="s">
        <v>393</v>
      </c>
      <c r="D142" s="163" t="s">
        <v>407</v>
      </c>
      <c r="E142" s="144"/>
      <c r="F142" s="137">
        <f>F143</f>
        <v>9810436.8</v>
      </c>
      <c r="G142" s="137">
        <f>G143</f>
        <v>0</v>
      </c>
      <c r="H142" s="137">
        <f>H143</f>
        <v>0</v>
      </c>
      <c r="I142" s="165"/>
      <c r="J142" s="166"/>
    </row>
    <row r="143" spans="1:10" ht="30.75" customHeight="1">
      <c r="A143" s="71" t="s">
        <v>290</v>
      </c>
      <c r="B143" s="143" t="s">
        <v>428</v>
      </c>
      <c r="C143" s="143" t="s">
        <v>393</v>
      </c>
      <c r="D143" s="163" t="s">
        <v>407</v>
      </c>
      <c r="E143" s="146">
        <v>400</v>
      </c>
      <c r="F143" s="137">
        <v>9810436.8</v>
      </c>
      <c r="G143" s="137">
        <v>0</v>
      </c>
      <c r="H143" s="137">
        <v>0</v>
      </c>
      <c r="I143" s="165"/>
      <c r="J143" s="166"/>
    </row>
    <row r="144" spans="1:10" ht="16.5" customHeight="1">
      <c r="A144" s="87" t="s">
        <v>481</v>
      </c>
      <c r="B144" s="134" t="s">
        <v>401</v>
      </c>
      <c r="C144" s="134"/>
      <c r="D144" s="132"/>
      <c r="E144" s="132"/>
      <c r="F144" s="135">
        <f>F145</f>
        <v>2002606.4</v>
      </c>
      <c r="G144" s="135">
        <f>G145</f>
        <v>5956631</v>
      </c>
      <c r="H144" s="135">
        <f>H145</f>
        <v>6280536</v>
      </c>
      <c r="I144" s="10"/>
      <c r="J144" s="2"/>
    </row>
    <row r="145" spans="1:10" ht="31.5" customHeight="1">
      <c r="A145" s="87" t="s">
        <v>482</v>
      </c>
      <c r="B145" s="134" t="s">
        <v>401</v>
      </c>
      <c r="C145" s="134" t="s">
        <v>393</v>
      </c>
      <c r="D145" s="164"/>
      <c r="E145" s="132"/>
      <c r="F145" s="135">
        <f>F146</f>
        <v>2002606.4</v>
      </c>
      <c r="G145" s="135">
        <f>G146</f>
        <v>5956631</v>
      </c>
      <c r="H145" s="135">
        <f>H146</f>
        <v>6280536</v>
      </c>
      <c r="I145" s="10"/>
      <c r="J145" s="2"/>
    </row>
    <row r="146" spans="1:10" ht="31.5" customHeight="1">
      <c r="A146" s="87" t="s">
        <v>483</v>
      </c>
      <c r="B146" s="134" t="s">
        <v>401</v>
      </c>
      <c r="C146" s="134" t="s">
        <v>393</v>
      </c>
      <c r="D146" s="142">
        <v>2900000000</v>
      </c>
      <c r="E146" s="167"/>
      <c r="F146" s="135">
        <f>F147+F149+F151</f>
        <v>2002606.4</v>
      </c>
      <c r="G146" s="135">
        <f>G147+G149+G151</f>
        <v>5956631</v>
      </c>
      <c r="H146" s="135">
        <f>H147+H149+H151</f>
        <v>6280536</v>
      </c>
      <c r="I146" s="10"/>
      <c r="J146" s="2"/>
    </row>
    <row r="147" spans="1:10" ht="30.75" customHeight="1">
      <c r="A147" s="71" t="s">
        <v>369</v>
      </c>
      <c r="B147" s="143" t="s">
        <v>401</v>
      </c>
      <c r="C147" s="143" t="s">
        <v>393</v>
      </c>
      <c r="D147" s="161">
        <v>2930000000</v>
      </c>
      <c r="E147" s="168"/>
      <c r="F147" s="137">
        <f>SUM(F148:F148)</f>
        <v>1683528</v>
      </c>
      <c r="G147" s="137">
        <f>SUM(G148:G148)</f>
        <v>3394476</v>
      </c>
      <c r="H147" s="137">
        <f>SUM(H148:H148)</f>
        <v>3391176</v>
      </c>
      <c r="I147" s="10"/>
      <c r="J147" s="2"/>
    </row>
    <row r="148" spans="1:10" ht="30.75" customHeight="1">
      <c r="A148" s="71" t="s">
        <v>265</v>
      </c>
      <c r="B148" s="143" t="s">
        <v>401</v>
      </c>
      <c r="C148" s="143" t="s">
        <v>393</v>
      </c>
      <c r="D148" s="161">
        <v>2930000000</v>
      </c>
      <c r="E148" s="169">
        <v>200</v>
      </c>
      <c r="F148" s="137">
        <v>1683528</v>
      </c>
      <c r="G148" s="137">
        <v>3394476</v>
      </c>
      <c r="H148" s="137">
        <v>3391176</v>
      </c>
      <c r="I148" s="10"/>
      <c r="J148" s="2"/>
    </row>
    <row r="149" spans="1:10" ht="30.75" customHeight="1">
      <c r="A149" s="71" t="s">
        <v>370</v>
      </c>
      <c r="B149" s="143" t="s">
        <v>401</v>
      </c>
      <c r="C149" s="143" t="s">
        <v>393</v>
      </c>
      <c r="D149" s="161">
        <v>2940000000</v>
      </c>
      <c r="E149" s="168"/>
      <c r="F149" s="137">
        <f>F150</f>
        <v>0</v>
      </c>
      <c r="G149" s="137">
        <f>G150</f>
        <v>2294150</v>
      </c>
      <c r="H149" s="137">
        <f>H150</f>
        <v>2292400</v>
      </c>
      <c r="I149" s="10"/>
      <c r="J149" s="2"/>
    </row>
    <row r="150" spans="1:10" ht="30.75" customHeight="1">
      <c r="A150" s="71" t="s">
        <v>265</v>
      </c>
      <c r="B150" s="143" t="s">
        <v>401</v>
      </c>
      <c r="C150" s="143" t="s">
        <v>393</v>
      </c>
      <c r="D150" s="161">
        <v>2940000000</v>
      </c>
      <c r="E150" s="161">
        <v>200</v>
      </c>
      <c r="F150" s="137">
        <v>0</v>
      </c>
      <c r="G150" s="137">
        <v>2294150</v>
      </c>
      <c r="H150" s="137">
        <v>2292400</v>
      </c>
      <c r="I150" s="10"/>
      <c r="J150" s="2"/>
    </row>
    <row r="151" spans="1:10" ht="30.75" customHeight="1">
      <c r="A151" s="71" t="s">
        <v>371</v>
      </c>
      <c r="B151" s="143" t="s">
        <v>401</v>
      </c>
      <c r="C151" s="143" t="s">
        <v>393</v>
      </c>
      <c r="D151" s="161">
        <v>2970000000</v>
      </c>
      <c r="E151" s="162"/>
      <c r="F151" s="137">
        <f>F152</f>
        <v>319078.4</v>
      </c>
      <c r="G151" s="137">
        <f>G152</f>
        <v>268005</v>
      </c>
      <c r="H151" s="137">
        <f>H152</f>
        <v>596960</v>
      </c>
      <c r="I151" s="10"/>
      <c r="J151" s="2"/>
    </row>
    <row r="152" spans="1:10" ht="30.75" customHeight="1">
      <c r="A152" s="71" t="s">
        <v>265</v>
      </c>
      <c r="B152" s="143" t="s">
        <v>401</v>
      </c>
      <c r="C152" s="143" t="s">
        <v>393</v>
      </c>
      <c r="D152" s="161">
        <v>2970000000</v>
      </c>
      <c r="E152" s="161">
        <v>200</v>
      </c>
      <c r="F152" s="137">
        <v>319078.4</v>
      </c>
      <c r="G152" s="137">
        <v>268005</v>
      </c>
      <c r="H152" s="137">
        <v>596960</v>
      </c>
      <c r="I152" s="10"/>
      <c r="J152" s="2"/>
    </row>
    <row r="153" spans="1:10" ht="16.5" customHeight="1">
      <c r="A153" s="87" t="s">
        <v>438</v>
      </c>
      <c r="B153" s="134" t="s">
        <v>405</v>
      </c>
      <c r="C153" s="134"/>
      <c r="D153" s="132"/>
      <c r="E153" s="132"/>
      <c r="F153" s="135">
        <f>F154+F164+F197+F220+F180</f>
        <v>1457705738.06</v>
      </c>
      <c r="G153" s="135">
        <f>G154+G164+G197+G220+G180</f>
        <v>1235556655.78</v>
      </c>
      <c r="H153" s="135">
        <f>H154+H164+H197+H220+H180</f>
        <v>1161668415.7116</v>
      </c>
      <c r="I153" s="10"/>
      <c r="J153" s="2"/>
    </row>
    <row r="154" spans="1:10" ht="16.5" customHeight="1">
      <c r="A154" s="87" t="s">
        <v>439</v>
      </c>
      <c r="B154" s="134" t="s">
        <v>405</v>
      </c>
      <c r="C154" s="134" t="s">
        <v>383</v>
      </c>
      <c r="D154" s="132"/>
      <c r="E154" s="132"/>
      <c r="F154" s="135">
        <f>F155+F161</f>
        <v>365056617.77</v>
      </c>
      <c r="G154" s="135">
        <f>G155+G161</f>
        <v>399056216.47</v>
      </c>
      <c r="H154" s="135">
        <f>H155+H161</f>
        <v>402132684.19</v>
      </c>
      <c r="I154" s="10"/>
      <c r="J154" s="2"/>
    </row>
    <row r="155" spans="1:10" ht="16.5" customHeight="1">
      <c r="A155" s="87" t="s">
        <v>260</v>
      </c>
      <c r="B155" s="134" t="s">
        <v>405</v>
      </c>
      <c r="C155" s="134" t="s">
        <v>383</v>
      </c>
      <c r="D155" s="164" t="s">
        <v>261</v>
      </c>
      <c r="E155" s="132"/>
      <c r="F155" s="135">
        <f>F156</f>
        <v>348164812.64</v>
      </c>
      <c r="G155" s="135">
        <f>G156</f>
        <v>399056216.47</v>
      </c>
      <c r="H155" s="135">
        <f>H156</f>
        <v>402132684.19</v>
      </c>
      <c r="I155" s="10"/>
      <c r="J155" s="2"/>
    </row>
    <row r="156" spans="1:10" ht="15" customHeight="1">
      <c r="A156" s="170" t="s">
        <v>270</v>
      </c>
      <c r="B156" s="143" t="s">
        <v>405</v>
      </c>
      <c r="C156" s="143" t="s">
        <v>383</v>
      </c>
      <c r="D156" s="163" t="s">
        <v>271</v>
      </c>
      <c r="E156" s="144"/>
      <c r="F156" s="137">
        <f>SUM(F157:F160)</f>
        <v>348164812.64</v>
      </c>
      <c r="G156" s="137">
        <f>SUM(G157:G160)</f>
        <v>399056216.47</v>
      </c>
      <c r="H156" s="137">
        <f>SUM(H157:H160)</f>
        <v>402132684.19</v>
      </c>
      <c r="I156" s="10"/>
      <c r="J156" s="2"/>
    </row>
    <row r="157" spans="1:10" ht="75" customHeight="1">
      <c r="A157" s="71" t="s">
        <v>264</v>
      </c>
      <c r="B157" s="143" t="s">
        <v>405</v>
      </c>
      <c r="C157" s="143" t="s">
        <v>383</v>
      </c>
      <c r="D157" s="163" t="s">
        <v>271</v>
      </c>
      <c r="E157" s="146">
        <v>100</v>
      </c>
      <c r="F157" s="137">
        <v>179371730.03</v>
      </c>
      <c r="G157" s="137">
        <v>196161391</v>
      </c>
      <c r="H157" s="137">
        <v>196058982</v>
      </c>
      <c r="I157" s="10"/>
      <c r="J157" s="2"/>
    </row>
    <row r="158" spans="1:10" ht="30" customHeight="1">
      <c r="A158" s="71" t="s">
        <v>265</v>
      </c>
      <c r="B158" s="143" t="s">
        <v>405</v>
      </c>
      <c r="C158" s="143" t="s">
        <v>383</v>
      </c>
      <c r="D158" s="163" t="s">
        <v>271</v>
      </c>
      <c r="E158" s="146">
        <v>200</v>
      </c>
      <c r="F158" s="137">
        <v>158707615.71</v>
      </c>
      <c r="G158" s="137">
        <v>194014643.47</v>
      </c>
      <c r="H158" s="137">
        <v>197231422.19</v>
      </c>
      <c r="I158" s="10"/>
      <c r="J158" s="2"/>
    </row>
    <row r="159" spans="1:10" ht="15" customHeight="1">
      <c r="A159" s="71" t="s">
        <v>266</v>
      </c>
      <c r="B159" s="143" t="s">
        <v>405</v>
      </c>
      <c r="C159" s="143" t="s">
        <v>383</v>
      </c>
      <c r="D159" s="163" t="s">
        <v>271</v>
      </c>
      <c r="E159" s="146">
        <v>300</v>
      </c>
      <c r="F159" s="137">
        <v>1220333.23</v>
      </c>
      <c r="G159" s="137">
        <v>0</v>
      </c>
      <c r="H159" s="137">
        <v>0</v>
      </c>
      <c r="I159" s="10"/>
      <c r="J159" s="2"/>
    </row>
    <row r="160" spans="1:10" ht="21" customHeight="1">
      <c r="A160" s="71" t="s">
        <v>267</v>
      </c>
      <c r="B160" s="143" t="s">
        <v>405</v>
      </c>
      <c r="C160" s="143" t="s">
        <v>383</v>
      </c>
      <c r="D160" s="163" t="s">
        <v>271</v>
      </c>
      <c r="E160" s="146">
        <v>800</v>
      </c>
      <c r="F160" s="137">
        <v>8865133.67</v>
      </c>
      <c r="G160" s="137">
        <v>8880182</v>
      </c>
      <c r="H160" s="137">
        <v>8842280</v>
      </c>
      <c r="I160" s="10"/>
      <c r="J160" s="2"/>
    </row>
    <row r="161" spans="1:10" ht="21" customHeight="1">
      <c r="A161" s="87" t="s">
        <v>386</v>
      </c>
      <c r="B161" s="134" t="s">
        <v>405</v>
      </c>
      <c r="C161" s="134" t="s">
        <v>383</v>
      </c>
      <c r="D161" s="134" t="s">
        <v>387</v>
      </c>
      <c r="E161" s="132"/>
      <c r="F161" s="135">
        <f>F162</f>
        <v>16891805.13</v>
      </c>
      <c r="G161" s="135">
        <f>G162</f>
        <v>0</v>
      </c>
      <c r="H161" s="135">
        <f>H162</f>
        <v>0</v>
      </c>
      <c r="I161" s="10"/>
      <c r="J161" s="2"/>
    </row>
    <row r="162" spans="1:10" ht="21" customHeight="1">
      <c r="A162" s="71" t="s">
        <v>406</v>
      </c>
      <c r="B162" s="143" t="s">
        <v>405</v>
      </c>
      <c r="C162" s="143" t="s">
        <v>383</v>
      </c>
      <c r="D162" s="143" t="s">
        <v>407</v>
      </c>
      <c r="E162" s="144"/>
      <c r="F162" s="137">
        <f>F163</f>
        <v>16891805.13</v>
      </c>
      <c r="G162" s="137">
        <f>G163</f>
        <v>0</v>
      </c>
      <c r="H162" s="137">
        <f>H163</f>
        <v>0</v>
      </c>
      <c r="I162" s="10"/>
      <c r="J162" s="2"/>
    </row>
    <row r="163" spans="1:10" ht="40.5" customHeight="1">
      <c r="A163" s="71" t="s">
        <v>265</v>
      </c>
      <c r="B163" s="143" t="s">
        <v>405</v>
      </c>
      <c r="C163" s="143" t="s">
        <v>383</v>
      </c>
      <c r="D163" s="143" t="s">
        <v>407</v>
      </c>
      <c r="E163" s="146">
        <v>200</v>
      </c>
      <c r="F163" s="137">
        <v>16891805.13</v>
      </c>
      <c r="G163" s="137">
        <v>0</v>
      </c>
      <c r="H163" s="137">
        <v>0</v>
      </c>
      <c r="I163" s="10"/>
      <c r="J163" s="2"/>
    </row>
    <row r="164" spans="1:10" ht="16.5" customHeight="1">
      <c r="A164" s="87" t="s">
        <v>440</v>
      </c>
      <c r="B164" s="134" t="s">
        <v>405</v>
      </c>
      <c r="C164" s="134" t="s">
        <v>385</v>
      </c>
      <c r="D164" s="132"/>
      <c r="E164" s="132"/>
      <c r="F164" s="135">
        <f>F165+F172+F175</f>
        <v>610262767.6</v>
      </c>
      <c r="G164" s="135">
        <f>G165+G172+G175</f>
        <v>408004097.2</v>
      </c>
      <c r="H164" s="135">
        <f>H165+H172+H175</f>
        <v>413643956.2</v>
      </c>
      <c r="I164" s="10"/>
      <c r="J164" s="2"/>
    </row>
    <row r="165" spans="1:10" ht="16.5" customHeight="1">
      <c r="A165" s="87" t="s">
        <v>260</v>
      </c>
      <c r="B165" s="134" t="s">
        <v>405</v>
      </c>
      <c r="C165" s="134" t="s">
        <v>385</v>
      </c>
      <c r="D165" s="164" t="s">
        <v>261</v>
      </c>
      <c r="E165" s="132"/>
      <c r="F165" s="135">
        <f>F166</f>
        <v>378290308.71</v>
      </c>
      <c r="G165" s="135">
        <f>G166</f>
        <v>408004097.2</v>
      </c>
      <c r="H165" s="135">
        <f>H166</f>
        <v>413643956.2</v>
      </c>
      <c r="I165" s="10"/>
      <c r="J165" s="2"/>
    </row>
    <row r="166" spans="1:10" ht="16.5" customHeight="1">
      <c r="A166" s="71" t="s">
        <v>272</v>
      </c>
      <c r="B166" s="143" t="s">
        <v>405</v>
      </c>
      <c r="C166" s="143" t="s">
        <v>385</v>
      </c>
      <c r="D166" s="163" t="s">
        <v>273</v>
      </c>
      <c r="E166" s="144"/>
      <c r="F166" s="137">
        <f>F167+F168+F171+F170+F169</f>
        <v>378290308.71</v>
      </c>
      <c r="G166" s="137">
        <f>G167+G168+G171+G170+G169</f>
        <v>408004097.2</v>
      </c>
      <c r="H166" s="137">
        <f>H167+H168+H171+H170+H169</f>
        <v>413643956.2</v>
      </c>
      <c r="I166" s="10"/>
      <c r="J166" s="2"/>
    </row>
    <row r="167" spans="1:10" ht="75.75" customHeight="1">
      <c r="A167" s="71" t="s">
        <v>264</v>
      </c>
      <c r="B167" s="143" t="s">
        <v>405</v>
      </c>
      <c r="C167" s="143" t="s">
        <v>385</v>
      </c>
      <c r="D167" s="163" t="s">
        <v>273</v>
      </c>
      <c r="E167" s="146">
        <v>100</v>
      </c>
      <c r="F167" s="145">
        <v>77448344.13</v>
      </c>
      <c r="G167" s="145">
        <v>78025761.17</v>
      </c>
      <c r="H167" s="145">
        <v>78330633.17</v>
      </c>
      <c r="I167" s="10"/>
      <c r="J167" s="2"/>
    </row>
    <row r="168" spans="1:10" ht="30.75" customHeight="1">
      <c r="A168" s="71" t="s">
        <v>265</v>
      </c>
      <c r="B168" s="143" t="s">
        <v>405</v>
      </c>
      <c r="C168" s="143" t="s">
        <v>385</v>
      </c>
      <c r="D168" s="163" t="s">
        <v>273</v>
      </c>
      <c r="E168" s="146">
        <v>200</v>
      </c>
      <c r="F168" s="145">
        <v>70112275.65</v>
      </c>
      <c r="G168" s="145">
        <v>68725519.84</v>
      </c>
      <c r="H168" s="145">
        <v>70987537.05</v>
      </c>
      <c r="I168" s="10"/>
      <c r="J168" s="2"/>
    </row>
    <row r="169" spans="1:10" ht="16.5" customHeight="1">
      <c r="A169" s="71" t="s">
        <v>266</v>
      </c>
      <c r="B169" s="143" t="s">
        <v>405</v>
      </c>
      <c r="C169" s="143" t="s">
        <v>385</v>
      </c>
      <c r="D169" s="163" t="s">
        <v>273</v>
      </c>
      <c r="E169" s="146">
        <v>300</v>
      </c>
      <c r="F169" s="145">
        <v>515432.91</v>
      </c>
      <c r="G169" s="145">
        <v>0</v>
      </c>
      <c r="H169" s="145">
        <v>0</v>
      </c>
      <c r="I169" s="10"/>
      <c r="J169" s="2"/>
    </row>
    <row r="170" spans="1:10" ht="32.25" customHeight="1">
      <c r="A170" s="71" t="s">
        <v>274</v>
      </c>
      <c r="B170" s="143" t="s">
        <v>405</v>
      </c>
      <c r="C170" s="143" t="s">
        <v>385</v>
      </c>
      <c r="D170" s="163" t="s">
        <v>273</v>
      </c>
      <c r="E170" s="146">
        <v>600</v>
      </c>
      <c r="F170" s="145">
        <v>228721080.02</v>
      </c>
      <c r="G170" s="145">
        <v>259606014.19</v>
      </c>
      <c r="H170" s="145">
        <v>262676803.98</v>
      </c>
      <c r="I170" s="10"/>
      <c r="J170" s="2"/>
    </row>
    <row r="171" spans="1:10" ht="16.5" customHeight="1">
      <c r="A171" s="71" t="s">
        <v>267</v>
      </c>
      <c r="B171" s="143" t="s">
        <v>405</v>
      </c>
      <c r="C171" s="143" t="s">
        <v>385</v>
      </c>
      <c r="D171" s="163" t="s">
        <v>273</v>
      </c>
      <c r="E171" s="146">
        <v>800</v>
      </c>
      <c r="F171" s="145">
        <v>1493176</v>
      </c>
      <c r="G171" s="145">
        <v>1646802</v>
      </c>
      <c r="H171" s="145">
        <v>1648982</v>
      </c>
      <c r="I171" s="10"/>
      <c r="J171" s="2"/>
    </row>
    <row r="172" spans="1:10" ht="31.5" customHeight="1">
      <c r="A172" s="87" t="s">
        <v>345</v>
      </c>
      <c r="B172" s="143" t="s">
        <v>405</v>
      </c>
      <c r="C172" s="143" t="s">
        <v>385</v>
      </c>
      <c r="D172" s="164" t="s">
        <v>346</v>
      </c>
      <c r="E172" s="132"/>
      <c r="F172" s="141">
        <f>F173</f>
        <v>182491969.13</v>
      </c>
      <c r="G172" s="141">
        <f>G173</f>
        <v>0</v>
      </c>
      <c r="H172" s="141">
        <f>H173</f>
        <v>0</v>
      </c>
      <c r="I172" s="10"/>
      <c r="J172" s="2"/>
    </row>
    <row r="173" spans="1:10" ht="16.5" customHeight="1">
      <c r="A173" s="71" t="s">
        <v>348</v>
      </c>
      <c r="B173" s="143" t="s">
        <v>405</v>
      </c>
      <c r="C173" s="143" t="s">
        <v>385</v>
      </c>
      <c r="D173" s="163" t="s">
        <v>349</v>
      </c>
      <c r="E173" s="144"/>
      <c r="F173" s="145">
        <f>F174</f>
        <v>182491969.13</v>
      </c>
      <c r="G173" s="145">
        <f>G174</f>
        <v>0</v>
      </c>
      <c r="H173" s="145">
        <f>H174</f>
        <v>0</v>
      </c>
      <c r="I173" s="10"/>
      <c r="J173" s="2"/>
    </row>
    <row r="174" spans="1:10" ht="30.75" customHeight="1">
      <c r="A174" s="71" t="s">
        <v>350</v>
      </c>
      <c r="B174" s="143" t="s">
        <v>405</v>
      </c>
      <c r="C174" s="143" t="s">
        <v>385</v>
      </c>
      <c r="D174" s="163" t="s">
        <v>349</v>
      </c>
      <c r="E174" s="146">
        <v>400</v>
      </c>
      <c r="F174" s="145">
        <f>188085300+1221712.8+3644565+5940638-348666.67-16051580</f>
        <v>182491969.13</v>
      </c>
      <c r="G174" s="145">
        <v>0</v>
      </c>
      <c r="H174" s="145">
        <v>0</v>
      </c>
      <c r="I174" s="10"/>
      <c r="J174" s="2"/>
    </row>
    <row r="175" spans="1:10" ht="16.5" customHeight="1">
      <c r="A175" s="87" t="s">
        <v>386</v>
      </c>
      <c r="B175" s="134" t="s">
        <v>405</v>
      </c>
      <c r="C175" s="134" t="s">
        <v>385</v>
      </c>
      <c r="D175" s="134" t="s">
        <v>387</v>
      </c>
      <c r="E175" s="132"/>
      <c r="F175" s="141">
        <f>F176</f>
        <v>49480489.76</v>
      </c>
      <c r="G175" s="141">
        <f>G176</f>
        <v>0</v>
      </c>
      <c r="H175" s="141">
        <f>H176</f>
        <v>0</v>
      </c>
      <c r="I175" s="10"/>
      <c r="J175" s="2"/>
    </row>
    <row r="176" spans="1:10" ht="16.5" customHeight="1">
      <c r="A176" s="71" t="s">
        <v>406</v>
      </c>
      <c r="B176" s="143" t="s">
        <v>405</v>
      </c>
      <c r="C176" s="143" t="s">
        <v>385</v>
      </c>
      <c r="D176" s="143" t="s">
        <v>407</v>
      </c>
      <c r="E176" s="144"/>
      <c r="F176" s="145">
        <f>SUM(F177:F179)</f>
        <v>49480489.76</v>
      </c>
      <c r="G176" s="145">
        <f>SUM(G177:G179)</f>
        <v>0</v>
      </c>
      <c r="H176" s="145">
        <f>SUM(H177:H179)</f>
        <v>0</v>
      </c>
      <c r="I176" s="10"/>
      <c r="J176" s="2"/>
    </row>
    <row r="177" spans="1:10" ht="30.75" customHeight="1">
      <c r="A177" s="71" t="s">
        <v>265</v>
      </c>
      <c r="B177" s="143" t="s">
        <v>405</v>
      </c>
      <c r="C177" s="143" t="s">
        <v>385</v>
      </c>
      <c r="D177" s="143" t="s">
        <v>407</v>
      </c>
      <c r="E177" s="146">
        <v>200</v>
      </c>
      <c r="F177" s="145">
        <v>13993189.27</v>
      </c>
      <c r="G177" s="145">
        <v>0</v>
      </c>
      <c r="H177" s="145">
        <v>0</v>
      </c>
      <c r="I177" s="10"/>
      <c r="J177" s="2"/>
    </row>
    <row r="178" spans="1:10" ht="30.75" customHeight="1">
      <c r="A178" s="71" t="s">
        <v>350</v>
      </c>
      <c r="B178" s="143" t="s">
        <v>405</v>
      </c>
      <c r="C178" s="143" t="s">
        <v>385</v>
      </c>
      <c r="D178" s="143" t="s">
        <v>407</v>
      </c>
      <c r="E178" s="146">
        <v>400</v>
      </c>
      <c r="F178" s="145">
        <v>5611353.04</v>
      </c>
      <c r="G178" s="145">
        <v>0</v>
      </c>
      <c r="H178" s="145">
        <v>0</v>
      </c>
      <c r="I178" s="10"/>
      <c r="J178" s="2"/>
    </row>
    <row r="179" spans="1:10" ht="30.75" customHeight="1">
      <c r="A179" s="71" t="s">
        <v>274</v>
      </c>
      <c r="B179" s="143" t="s">
        <v>405</v>
      </c>
      <c r="C179" s="143" t="s">
        <v>385</v>
      </c>
      <c r="D179" s="143" t="s">
        <v>407</v>
      </c>
      <c r="E179" s="146">
        <v>600</v>
      </c>
      <c r="F179" s="145">
        <v>29875947.45</v>
      </c>
      <c r="G179" s="145">
        <v>0</v>
      </c>
      <c r="H179" s="145">
        <v>0</v>
      </c>
      <c r="I179" s="10"/>
      <c r="J179" s="2"/>
    </row>
    <row r="180" spans="1:10" ht="16.5" customHeight="1">
      <c r="A180" s="87" t="s">
        <v>441</v>
      </c>
      <c r="B180" s="134" t="s">
        <v>405</v>
      </c>
      <c r="C180" s="134" t="s">
        <v>393</v>
      </c>
      <c r="D180" s="164"/>
      <c r="E180" s="132"/>
      <c r="F180" s="141">
        <f>F181+F186+F191+F194</f>
        <v>300814973.94</v>
      </c>
      <c r="G180" s="141">
        <f>G181+G186+G191+G194</f>
        <v>256062765.29</v>
      </c>
      <c r="H180" s="141">
        <f>H181+H186+H191+H194</f>
        <v>172333842.05</v>
      </c>
      <c r="I180" s="10"/>
      <c r="J180" s="2"/>
    </row>
    <row r="181" spans="1:10" ht="16.5" customHeight="1">
      <c r="A181" s="87" t="s">
        <v>260</v>
      </c>
      <c r="B181" s="134" t="s">
        <v>405</v>
      </c>
      <c r="C181" s="134" t="s">
        <v>393</v>
      </c>
      <c r="D181" s="164" t="s">
        <v>261</v>
      </c>
      <c r="E181" s="132"/>
      <c r="F181" s="141">
        <f>F182</f>
        <v>75618967.84</v>
      </c>
      <c r="G181" s="141">
        <f>G182</f>
        <v>74008721.72</v>
      </c>
      <c r="H181" s="141">
        <f>H182</f>
        <v>74203092.05</v>
      </c>
      <c r="I181" s="10"/>
      <c r="J181" s="2"/>
    </row>
    <row r="182" spans="1:10" ht="16.5" customHeight="1">
      <c r="A182" s="170" t="s">
        <v>275</v>
      </c>
      <c r="B182" s="143" t="s">
        <v>405</v>
      </c>
      <c r="C182" s="143" t="s">
        <v>393</v>
      </c>
      <c r="D182" s="163" t="s">
        <v>276</v>
      </c>
      <c r="E182" s="144"/>
      <c r="F182" s="137">
        <f>F183+F184+F185</f>
        <v>75618967.84</v>
      </c>
      <c r="G182" s="137">
        <f>G183+G184+G185</f>
        <v>74008721.72</v>
      </c>
      <c r="H182" s="137">
        <f>H183+H184+H185</f>
        <v>74203092.05</v>
      </c>
      <c r="I182" s="10"/>
      <c r="J182" s="2"/>
    </row>
    <row r="183" spans="1:10" ht="75.75" customHeight="1">
      <c r="A183" s="71" t="s">
        <v>264</v>
      </c>
      <c r="B183" s="143" t="s">
        <v>405</v>
      </c>
      <c r="C183" s="143" t="s">
        <v>393</v>
      </c>
      <c r="D183" s="163" t="s">
        <v>276</v>
      </c>
      <c r="E183" s="146">
        <v>100</v>
      </c>
      <c r="F183" s="137">
        <v>66852767.44</v>
      </c>
      <c r="G183" s="137">
        <v>67443264</v>
      </c>
      <c r="H183" s="137">
        <v>67443264</v>
      </c>
      <c r="I183" s="10"/>
      <c r="J183" s="2"/>
    </row>
    <row r="184" spans="1:10" ht="30.75" customHeight="1">
      <c r="A184" s="71" t="s">
        <v>265</v>
      </c>
      <c r="B184" s="143" t="s">
        <v>405</v>
      </c>
      <c r="C184" s="143" t="s">
        <v>393</v>
      </c>
      <c r="D184" s="163" t="s">
        <v>276</v>
      </c>
      <c r="E184" s="146">
        <v>200</v>
      </c>
      <c r="F184" s="137">
        <v>8505829.4</v>
      </c>
      <c r="G184" s="137">
        <v>6565457.72</v>
      </c>
      <c r="H184" s="137">
        <v>6759828.05</v>
      </c>
      <c r="I184" s="10"/>
      <c r="J184" s="2"/>
    </row>
    <row r="185" spans="1:10" ht="16.5" customHeight="1">
      <c r="A185" s="71" t="s">
        <v>267</v>
      </c>
      <c r="B185" s="143" t="s">
        <v>405</v>
      </c>
      <c r="C185" s="143" t="s">
        <v>393</v>
      </c>
      <c r="D185" s="163" t="s">
        <v>276</v>
      </c>
      <c r="E185" s="146">
        <v>800</v>
      </c>
      <c r="F185" s="137">
        <v>260371</v>
      </c>
      <c r="G185" s="137">
        <v>0</v>
      </c>
      <c r="H185" s="137">
        <v>0</v>
      </c>
      <c r="I185" s="10"/>
      <c r="J185" s="2"/>
    </row>
    <row r="186" spans="1:10" ht="16.5" customHeight="1">
      <c r="A186" s="87" t="s">
        <v>279</v>
      </c>
      <c r="B186" s="134" t="s">
        <v>405</v>
      </c>
      <c r="C186" s="134" t="s">
        <v>393</v>
      </c>
      <c r="D186" s="164" t="s">
        <v>261</v>
      </c>
      <c r="E186" s="132"/>
      <c r="F186" s="135">
        <f>F187</f>
        <v>91201649.21</v>
      </c>
      <c r="G186" s="135">
        <f>G187</f>
        <v>97656200</v>
      </c>
      <c r="H186" s="135">
        <f>H187</f>
        <v>98130750</v>
      </c>
      <c r="I186" s="10"/>
      <c r="J186" s="2"/>
    </row>
    <row r="187" spans="1:10" ht="16.5" customHeight="1">
      <c r="A187" s="71" t="s">
        <v>275</v>
      </c>
      <c r="B187" s="143" t="s">
        <v>405</v>
      </c>
      <c r="C187" s="143" t="s">
        <v>393</v>
      </c>
      <c r="D187" s="163" t="s">
        <v>276</v>
      </c>
      <c r="E187" s="144"/>
      <c r="F187" s="137">
        <f>F188+F189+F190</f>
        <v>91201649.21</v>
      </c>
      <c r="G187" s="137">
        <f>G188+G189+G190</f>
        <v>97656200</v>
      </c>
      <c r="H187" s="137">
        <f>H188+H189+H190</f>
        <v>98130750</v>
      </c>
      <c r="I187" s="10"/>
      <c r="J187" s="2"/>
    </row>
    <row r="188" spans="1:10" ht="75.75" customHeight="1">
      <c r="A188" s="71" t="s">
        <v>264</v>
      </c>
      <c r="B188" s="143" t="s">
        <v>405</v>
      </c>
      <c r="C188" s="143" t="s">
        <v>393</v>
      </c>
      <c r="D188" s="163" t="s">
        <v>276</v>
      </c>
      <c r="E188" s="146">
        <v>100</v>
      </c>
      <c r="F188" s="145">
        <v>82682998.88</v>
      </c>
      <c r="G188" s="145">
        <v>87347100</v>
      </c>
      <c r="H188" s="145">
        <v>87512650</v>
      </c>
      <c r="I188" s="10"/>
      <c r="J188" s="2"/>
    </row>
    <row r="189" spans="1:10" ht="30.75" customHeight="1">
      <c r="A189" s="71" t="s">
        <v>265</v>
      </c>
      <c r="B189" s="143" t="s">
        <v>405</v>
      </c>
      <c r="C189" s="143" t="s">
        <v>393</v>
      </c>
      <c r="D189" s="163" t="s">
        <v>276</v>
      </c>
      <c r="E189" s="146">
        <v>200</v>
      </c>
      <c r="F189" s="145">
        <v>8504143.33</v>
      </c>
      <c r="G189" s="145">
        <v>10283300</v>
      </c>
      <c r="H189" s="145">
        <v>10591500</v>
      </c>
      <c r="I189" s="10"/>
      <c r="J189" s="2"/>
    </row>
    <row r="190" spans="1:10" ht="16.5" customHeight="1">
      <c r="A190" s="71" t="s">
        <v>267</v>
      </c>
      <c r="B190" s="143" t="s">
        <v>405</v>
      </c>
      <c r="C190" s="143" t="s">
        <v>393</v>
      </c>
      <c r="D190" s="163" t="s">
        <v>276</v>
      </c>
      <c r="E190" s="146">
        <v>800</v>
      </c>
      <c r="F190" s="145">
        <v>14507</v>
      </c>
      <c r="G190" s="145">
        <v>25800</v>
      </c>
      <c r="H190" s="145">
        <v>26600</v>
      </c>
      <c r="I190" s="10"/>
      <c r="J190" s="2"/>
    </row>
    <row r="191" spans="1:10" ht="41.25" customHeight="1">
      <c r="A191" s="87" t="s">
        <v>345</v>
      </c>
      <c r="B191" s="143" t="s">
        <v>405</v>
      </c>
      <c r="C191" s="143" t="s">
        <v>393</v>
      </c>
      <c r="D191" s="164" t="s">
        <v>346</v>
      </c>
      <c r="E191" s="144"/>
      <c r="F191" s="145">
        <f>F192</f>
        <v>133954356.89</v>
      </c>
      <c r="G191" s="145">
        <f>G192</f>
        <v>84397843.57</v>
      </c>
      <c r="H191" s="145">
        <f>H192</f>
        <v>0</v>
      </c>
      <c r="I191" s="10"/>
      <c r="J191" s="2"/>
    </row>
    <row r="192" spans="1:10" ht="16.5" customHeight="1">
      <c r="A192" s="71" t="s">
        <v>348</v>
      </c>
      <c r="B192" s="143" t="s">
        <v>405</v>
      </c>
      <c r="C192" s="143" t="s">
        <v>393</v>
      </c>
      <c r="D192" s="163" t="s">
        <v>349</v>
      </c>
      <c r="E192" s="144"/>
      <c r="F192" s="145">
        <f>F193</f>
        <v>133954356.89</v>
      </c>
      <c r="G192" s="145">
        <f>G193</f>
        <v>84397843.57</v>
      </c>
      <c r="H192" s="145">
        <f>H193</f>
        <v>0</v>
      </c>
      <c r="I192" s="10"/>
      <c r="J192" s="2"/>
    </row>
    <row r="193" spans="1:10" ht="30.75" customHeight="1">
      <c r="A193" s="71" t="s">
        <v>350</v>
      </c>
      <c r="B193" s="143" t="s">
        <v>405</v>
      </c>
      <c r="C193" s="143" t="s">
        <v>393</v>
      </c>
      <c r="D193" s="163" t="s">
        <v>349</v>
      </c>
      <c r="E193" s="146">
        <v>400</v>
      </c>
      <c r="F193" s="145">
        <f>135560049.51-1605692.62</f>
        <v>133954356.89</v>
      </c>
      <c r="G193" s="145">
        <v>84397843.57</v>
      </c>
      <c r="H193" s="145"/>
      <c r="I193" s="10"/>
      <c r="J193" s="2"/>
    </row>
    <row r="194" spans="1:10" ht="16.5" customHeight="1">
      <c r="A194" s="87" t="s">
        <v>386</v>
      </c>
      <c r="B194" s="143" t="s">
        <v>405</v>
      </c>
      <c r="C194" s="143" t="s">
        <v>393</v>
      </c>
      <c r="D194" s="134" t="s">
        <v>387</v>
      </c>
      <c r="E194" s="144"/>
      <c r="F194" s="141">
        <f>F195</f>
        <v>40000</v>
      </c>
      <c r="G194" s="141">
        <f>G195</f>
        <v>0</v>
      </c>
      <c r="H194" s="141">
        <f>H195</f>
        <v>0</v>
      </c>
      <c r="I194" s="10"/>
      <c r="J194" s="2"/>
    </row>
    <row r="195" spans="1:10" ht="16.5" customHeight="1">
      <c r="A195" s="71" t="s">
        <v>406</v>
      </c>
      <c r="B195" s="143" t="s">
        <v>405</v>
      </c>
      <c r="C195" s="143" t="s">
        <v>393</v>
      </c>
      <c r="D195" s="143" t="s">
        <v>407</v>
      </c>
      <c r="E195" s="144"/>
      <c r="F195" s="145">
        <f>F196</f>
        <v>40000</v>
      </c>
      <c r="G195" s="145">
        <f>G196</f>
        <v>0</v>
      </c>
      <c r="H195" s="145">
        <f>H196</f>
        <v>0</v>
      </c>
      <c r="I195" s="10"/>
      <c r="J195" s="2"/>
    </row>
    <row r="196" spans="1:10" ht="30.75" customHeight="1">
      <c r="A196" s="71" t="s">
        <v>265</v>
      </c>
      <c r="B196" s="143" t="s">
        <v>405</v>
      </c>
      <c r="C196" s="143" t="s">
        <v>393</v>
      </c>
      <c r="D196" s="163" t="s">
        <v>407</v>
      </c>
      <c r="E196" s="146">
        <v>200</v>
      </c>
      <c r="F196" s="145">
        <v>40000</v>
      </c>
      <c r="G196" s="145">
        <v>0</v>
      </c>
      <c r="H196" s="145">
        <v>0</v>
      </c>
      <c r="I196" s="10"/>
      <c r="J196" s="2"/>
    </row>
    <row r="197" spans="1:10" ht="16.5" customHeight="1">
      <c r="A197" s="87" t="s">
        <v>484</v>
      </c>
      <c r="B197" s="134" t="s">
        <v>405</v>
      </c>
      <c r="C197" s="134" t="s">
        <v>405</v>
      </c>
      <c r="D197" s="132"/>
      <c r="E197" s="132"/>
      <c r="F197" s="135">
        <f>F198+F213</f>
        <v>97319409.7</v>
      </c>
      <c r="G197" s="135">
        <f>G198+G213</f>
        <v>79221008.8</v>
      </c>
      <c r="H197" s="135">
        <f>H198+H213</f>
        <v>79983181.3716</v>
      </c>
      <c r="I197" s="10"/>
      <c r="J197" s="2"/>
    </row>
    <row r="198" spans="1:10" ht="47.25" customHeight="1">
      <c r="A198" s="87" t="s">
        <v>485</v>
      </c>
      <c r="B198" s="134" t="s">
        <v>405</v>
      </c>
      <c r="C198" s="134" t="s">
        <v>405</v>
      </c>
      <c r="D198" s="164" t="s">
        <v>320</v>
      </c>
      <c r="E198" s="132"/>
      <c r="F198" s="135">
        <f>F199+F202+F211+F206</f>
        <v>24232480.81</v>
      </c>
      <c r="G198" s="135">
        <f>G199+G202+G211+G206</f>
        <v>28527135.8</v>
      </c>
      <c r="H198" s="135">
        <f>H199+H202+H211+H206</f>
        <v>29289308.3716</v>
      </c>
      <c r="I198" s="10"/>
      <c r="J198" s="2"/>
    </row>
    <row r="199" spans="1:10" ht="16.5" customHeight="1">
      <c r="A199" s="71" t="s">
        <v>262</v>
      </c>
      <c r="B199" s="143" t="s">
        <v>405</v>
      </c>
      <c r="C199" s="143" t="s">
        <v>405</v>
      </c>
      <c r="D199" s="163" t="s">
        <v>321</v>
      </c>
      <c r="E199" s="144"/>
      <c r="F199" s="137">
        <f>SUM(F200:F201)</f>
        <v>14001323.58</v>
      </c>
      <c r="G199" s="137">
        <f>SUM(G200:G201)</f>
        <v>13754135.47</v>
      </c>
      <c r="H199" s="137">
        <f>SUM(H200:H201)</f>
        <v>14136265.17</v>
      </c>
      <c r="I199" s="10"/>
      <c r="J199" s="2"/>
    </row>
    <row r="200" spans="1:10" ht="75.75" customHeight="1">
      <c r="A200" s="71" t="s">
        <v>264</v>
      </c>
      <c r="B200" s="143" t="s">
        <v>405</v>
      </c>
      <c r="C200" s="143" t="s">
        <v>405</v>
      </c>
      <c r="D200" s="163" t="s">
        <v>321</v>
      </c>
      <c r="E200" s="146">
        <v>100</v>
      </c>
      <c r="F200" s="137">
        <v>13193103.58</v>
      </c>
      <c r="G200" s="137">
        <v>12790247.24</v>
      </c>
      <c r="H200" s="137">
        <v>13137023.75</v>
      </c>
      <c r="I200" s="10"/>
      <c r="J200" s="2"/>
    </row>
    <row r="201" spans="1:10" ht="30.75" customHeight="1">
      <c r="A201" s="71" t="s">
        <v>265</v>
      </c>
      <c r="B201" s="143" t="s">
        <v>405</v>
      </c>
      <c r="C201" s="143" t="s">
        <v>405</v>
      </c>
      <c r="D201" s="163" t="s">
        <v>321</v>
      </c>
      <c r="E201" s="146">
        <v>200</v>
      </c>
      <c r="F201" s="137">
        <v>808220</v>
      </c>
      <c r="G201" s="137">
        <v>963888.23</v>
      </c>
      <c r="H201" s="137">
        <v>999241.42</v>
      </c>
      <c r="I201" s="10"/>
      <c r="J201" s="2"/>
    </row>
    <row r="202" spans="1:10" ht="30" customHeight="1">
      <c r="A202" s="71" t="s">
        <v>322</v>
      </c>
      <c r="B202" s="143" t="s">
        <v>405</v>
      </c>
      <c r="C202" s="143" t="s">
        <v>405</v>
      </c>
      <c r="D202" s="163" t="s">
        <v>323</v>
      </c>
      <c r="E202" s="144"/>
      <c r="F202" s="137">
        <f>F203+F204+F205</f>
        <v>9144369.09</v>
      </c>
      <c r="G202" s="137">
        <f>G203+G204+G205</f>
        <v>12965895.96</v>
      </c>
      <c r="H202" s="137">
        <f>H203+H204+H205</f>
        <v>13290057.32</v>
      </c>
      <c r="I202" s="171"/>
      <c r="J202" s="172"/>
    </row>
    <row r="203" spans="1:10" ht="75" customHeight="1">
      <c r="A203" s="71" t="s">
        <v>264</v>
      </c>
      <c r="B203" s="143" t="s">
        <v>405</v>
      </c>
      <c r="C203" s="143" t="s">
        <v>405</v>
      </c>
      <c r="D203" s="163" t="s">
        <v>323</v>
      </c>
      <c r="E203" s="146">
        <v>100</v>
      </c>
      <c r="F203" s="137">
        <v>343294.8</v>
      </c>
      <c r="G203" s="137">
        <v>457203.75</v>
      </c>
      <c r="H203" s="137">
        <v>475491.9</v>
      </c>
      <c r="I203" s="171"/>
      <c r="J203" s="172"/>
    </row>
    <row r="204" spans="1:10" ht="30" customHeight="1">
      <c r="A204" s="71" t="s">
        <v>265</v>
      </c>
      <c r="B204" s="143" t="s">
        <v>405</v>
      </c>
      <c r="C204" s="143" t="s">
        <v>405</v>
      </c>
      <c r="D204" s="163" t="s">
        <v>323</v>
      </c>
      <c r="E204" s="146">
        <v>200</v>
      </c>
      <c r="F204" s="137">
        <v>1601246.29</v>
      </c>
      <c r="G204" s="137">
        <v>3727843.53</v>
      </c>
      <c r="H204" s="137">
        <v>3865609.31</v>
      </c>
      <c r="I204" s="10"/>
      <c r="J204" s="2"/>
    </row>
    <row r="205" spans="1:10" ht="15" customHeight="1">
      <c r="A205" s="71" t="s">
        <v>266</v>
      </c>
      <c r="B205" s="143" t="s">
        <v>405</v>
      </c>
      <c r="C205" s="143" t="s">
        <v>405</v>
      </c>
      <c r="D205" s="163" t="s">
        <v>323</v>
      </c>
      <c r="E205" s="146">
        <v>300</v>
      </c>
      <c r="F205" s="137">
        <v>7199828</v>
      </c>
      <c r="G205" s="137">
        <v>8780848.68</v>
      </c>
      <c r="H205" s="137">
        <v>8948956.11</v>
      </c>
      <c r="I205" s="10"/>
      <c r="J205" s="2"/>
    </row>
    <row r="206" spans="1:10" ht="30" customHeight="1">
      <c r="A206" s="71" t="s">
        <v>324</v>
      </c>
      <c r="B206" s="143" t="s">
        <v>405</v>
      </c>
      <c r="C206" s="143" t="s">
        <v>405</v>
      </c>
      <c r="D206" s="163" t="s">
        <v>325</v>
      </c>
      <c r="E206" s="144"/>
      <c r="F206" s="137">
        <f>F207+F208+F209+F210</f>
        <v>758419</v>
      </c>
      <c r="G206" s="137">
        <f>G207+G208+G209+G210</f>
        <v>805810.48</v>
      </c>
      <c r="H206" s="137">
        <f>H207+H208+H209+H210</f>
        <v>829984.7916</v>
      </c>
      <c r="I206" s="10"/>
      <c r="J206" s="2"/>
    </row>
    <row r="207" spans="1:10" ht="30" customHeight="1">
      <c r="A207" s="71" t="s">
        <v>265</v>
      </c>
      <c r="B207" s="143" t="s">
        <v>405</v>
      </c>
      <c r="C207" s="143" t="s">
        <v>405</v>
      </c>
      <c r="D207" s="163" t="s">
        <v>325</v>
      </c>
      <c r="E207" s="146">
        <v>200</v>
      </c>
      <c r="F207" s="137">
        <v>231059</v>
      </c>
      <c r="G207" s="137">
        <v>264211.76</v>
      </c>
      <c r="H207" s="137">
        <v>272138.11</v>
      </c>
      <c r="I207" s="10"/>
      <c r="J207" s="2"/>
    </row>
    <row r="208" spans="1:10" ht="15" customHeight="1">
      <c r="A208" s="71" t="s">
        <v>266</v>
      </c>
      <c r="B208" s="143" t="s">
        <v>405</v>
      </c>
      <c r="C208" s="143" t="s">
        <v>405</v>
      </c>
      <c r="D208" s="163" t="s">
        <v>325</v>
      </c>
      <c r="E208" s="146">
        <v>300</v>
      </c>
      <c r="F208" s="137">
        <v>527360</v>
      </c>
      <c r="G208" s="137">
        <v>181098.72</v>
      </c>
      <c r="H208" s="137">
        <v>186531.6816</v>
      </c>
      <c r="I208" s="10"/>
      <c r="J208" s="2"/>
    </row>
    <row r="209" spans="1:10" ht="30" customHeight="1">
      <c r="A209" s="71" t="s">
        <v>274</v>
      </c>
      <c r="B209" s="143" t="s">
        <v>405</v>
      </c>
      <c r="C209" s="143" t="s">
        <v>405</v>
      </c>
      <c r="D209" s="163" t="s">
        <v>325</v>
      </c>
      <c r="E209" s="146">
        <v>600</v>
      </c>
      <c r="F209" s="137">
        <v>0</v>
      </c>
      <c r="G209" s="137">
        <v>360500</v>
      </c>
      <c r="H209" s="137">
        <v>371315</v>
      </c>
      <c r="I209" s="10"/>
      <c r="J209" s="2"/>
    </row>
    <row r="210" spans="1:10" ht="15" customHeight="1">
      <c r="A210" s="71" t="s">
        <v>267</v>
      </c>
      <c r="B210" s="143" t="s">
        <v>405</v>
      </c>
      <c r="C210" s="143" t="s">
        <v>405</v>
      </c>
      <c r="D210" s="163" t="s">
        <v>325</v>
      </c>
      <c r="E210" s="146">
        <v>800</v>
      </c>
      <c r="F210" s="137">
        <v>0</v>
      </c>
      <c r="G210" s="137">
        <v>0</v>
      </c>
      <c r="H210" s="137">
        <v>0</v>
      </c>
      <c r="I210" s="10"/>
      <c r="J210" s="2"/>
    </row>
    <row r="211" spans="1:10" ht="30" customHeight="1">
      <c r="A211" s="71" t="s">
        <v>486</v>
      </c>
      <c r="B211" s="143" t="s">
        <v>405</v>
      </c>
      <c r="C211" s="143" t="s">
        <v>405</v>
      </c>
      <c r="D211" s="143" t="s">
        <v>329</v>
      </c>
      <c r="E211" s="143"/>
      <c r="F211" s="137">
        <f>F212</f>
        <v>328369.14</v>
      </c>
      <c r="G211" s="137">
        <f>G212</f>
        <v>1001293.89</v>
      </c>
      <c r="H211" s="137">
        <f>H212</f>
        <v>1033001.09</v>
      </c>
      <c r="I211" s="10"/>
      <c r="J211" s="2"/>
    </row>
    <row r="212" spans="1:10" ht="30" customHeight="1">
      <c r="A212" s="71" t="s">
        <v>265</v>
      </c>
      <c r="B212" s="143" t="s">
        <v>405</v>
      </c>
      <c r="C212" s="143" t="s">
        <v>405</v>
      </c>
      <c r="D212" s="143" t="s">
        <v>329</v>
      </c>
      <c r="E212" s="143" t="s">
        <v>330</v>
      </c>
      <c r="F212" s="137">
        <v>328369.14</v>
      </c>
      <c r="G212" s="137">
        <v>1001293.89</v>
      </c>
      <c r="H212" s="137">
        <v>1033001.09</v>
      </c>
      <c r="I212" s="10"/>
      <c r="J212" s="2"/>
    </row>
    <row r="213" spans="1:10" ht="16.5" customHeight="1">
      <c r="A213" s="87" t="s">
        <v>487</v>
      </c>
      <c r="B213" s="134" t="s">
        <v>405</v>
      </c>
      <c r="C213" s="134" t="s">
        <v>405</v>
      </c>
      <c r="D213" s="164" t="s">
        <v>261</v>
      </c>
      <c r="E213" s="132"/>
      <c r="F213" s="135">
        <f>F214</f>
        <v>73086928.89</v>
      </c>
      <c r="G213" s="135">
        <f>G214</f>
        <v>50693873</v>
      </c>
      <c r="H213" s="135">
        <f>H214</f>
        <v>50693873</v>
      </c>
      <c r="I213" s="10"/>
      <c r="J213" s="2"/>
    </row>
    <row r="214" spans="1:10" ht="15" customHeight="1">
      <c r="A214" s="71" t="s">
        <v>277</v>
      </c>
      <c r="B214" s="143" t="s">
        <v>405</v>
      </c>
      <c r="C214" s="143" t="s">
        <v>405</v>
      </c>
      <c r="D214" s="163" t="s">
        <v>278</v>
      </c>
      <c r="E214" s="144"/>
      <c r="F214" s="137">
        <f>SUM(F215:F219)</f>
        <v>73086928.89</v>
      </c>
      <c r="G214" s="137">
        <f>SUM(G215:G219)</f>
        <v>50693873</v>
      </c>
      <c r="H214" s="137">
        <f>SUM(H215:H219)</f>
        <v>50693873</v>
      </c>
      <c r="I214" s="10"/>
      <c r="J214" s="2"/>
    </row>
    <row r="215" spans="1:10" ht="75" customHeight="1">
      <c r="A215" s="71" t="s">
        <v>264</v>
      </c>
      <c r="B215" s="143" t="s">
        <v>405</v>
      </c>
      <c r="C215" s="143" t="s">
        <v>405</v>
      </c>
      <c r="D215" s="163" t="s">
        <v>278</v>
      </c>
      <c r="E215" s="146">
        <v>100</v>
      </c>
      <c r="F215" s="137">
        <v>14973839.03</v>
      </c>
      <c r="G215" s="137">
        <v>0</v>
      </c>
      <c r="H215" s="137">
        <v>0</v>
      </c>
      <c r="I215" s="10"/>
      <c r="J215" s="2"/>
    </row>
    <row r="216" spans="1:10" ht="30" customHeight="1">
      <c r="A216" s="71" t="s">
        <v>265</v>
      </c>
      <c r="B216" s="143" t="s">
        <v>405</v>
      </c>
      <c r="C216" s="143" t="s">
        <v>405</v>
      </c>
      <c r="D216" s="163" t="s">
        <v>278</v>
      </c>
      <c r="E216" s="146">
        <v>200</v>
      </c>
      <c r="F216" s="137">
        <v>18334750.65</v>
      </c>
      <c r="G216" s="137">
        <v>0</v>
      </c>
      <c r="H216" s="137">
        <v>0</v>
      </c>
      <c r="I216" s="10"/>
      <c r="J216" s="2"/>
    </row>
    <row r="217" spans="1:10" ht="15" customHeight="1">
      <c r="A217" s="71" t="s">
        <v>266</v>
      </c>
      <c r="B217" s="143" t="s">
        <v>405</v>
      </c>
      <c r="C217" s="143" t="s">
        <v>405</v>
      </c>
      <c r="D217" s="163" t="s">
        <v>278</v>
      </c>
      <c r="E217" s="146">
        <v>300</v>
      </c>
      <c r="F217" s="137">
        <v>0</v>
      </c>
      <c r="G217" s="137">
        <v>10511573</v>
      </c>
      <c r="H217" s="137">
        <v>10511573</v>
      </c>
      <c r="I217" s="10"/>
      <c r="J217" s="2"/>
    </row>
    <row r="218" spans="1:10" ht="30" customHeight="1">
      <c r="A218" s="71" t="s">
        <v>274</v>
      </c>
      <c r="B218" s="143" t="s">
        <v>405</v>
      </c>
      <c r="C218" s="143" t="s">
        <v>405</v>
      </c>
      <c r="D218" s="163" t="s">
        <v>278</v>
      </c>
      <c r="E218" s="146">
        <v>600</v>
      </c>
      <c r="F218" s="137">
        <v>39778339.21</v>
      </c>
      <c r="G218" s="137">
        <v>0</v>
      </c>
      <c r="H218" s="137">
        <v>0</v>
      </c>
      <c r="I218" s="10"/>
      <c r="J218" s="2"/>
    </row>
    <row r="219" spans="1:10" ht="15" customHeight="1">
      <c r="A219" s="71" t="s">
        <v>267</v>
      </c>
      <c r="B219" s="143" t="s">
        <v>405</v>
      </c>
      <c r="C219" s="143" t="s">
        <v>405</v>
      </c>
      <c r="D219" s="163" t="s">
        <v>278</v>
      </c>
      <c r="E219" s="146">
        <v>800</v>
      </c>
      <c r="F219" s="137">
        <v>0</v>
      </c>
      <c r="G219" s="137">
        <v>40182300</v>
      </c>
      <c r="H219" s="137">
        <v>40182300</v>
      </c>
      <c r="I219" s="10"/>
      <c r="J219" s="2"/>
    </row>
    <row r="220" spans="1:10" ht="16.5" customHeight="1">
      <c r="A220" s="87" t="s">
        <v>442</v>
      </c>
      <c r="B220" s="134" t="s">
        <v>405</v>
      </c>
      <c r="C220" s="134" t="s">
        <v>443</v>
      </c>
      <c r="D220" s="132"/>
      <c r="E220" s="132"/>
      <c r="F220" s="135">
        <f>F221+F227</f>
        <v>84251969.05</v>
      </c>
      <c r="G220" s="135">
        <f>G221</f>
        <v>93212568.02</v>
      </c>
      <c r="H220" s="135">
        <f>H221</f>
        <v>93574751.9</v>
      </c>
      <c r="I220" s="10"/>
      <c r="J220" s="2"/>
    </row>
    <row r="221" spans="1:10" ht="16.5" customHeight="1">
      <c r="A221" s="87" t="s">
        <v>260</v>
      </c>
      <c r="B221" s="134" t="s">
        <v>405</v>
      </c>
      <c r="C221" s="134" t="s">
        <v>443</v>
      </c>
      <c r="D221" s="164" t="s">
        <v>261</v>
      </c>
      <c r="E221" s="132"/>
      <c r="F221" s="135">
        <f>F222</f>
        <v>81439252.77</v>
      </c>
      <c r="G221" s="135">
        <f>G222</f>
        <v>93212568.02</v>
      </c>
      <c r="H221" s="135">
        <f>H222</f>
        <v>93574751.9</v>
      </c>
      <c r="I221" s="10"/>
      <c r="J221" s="2"/>
    </row>
    <row r="222" spans="1:10" ht="15" customHeight="1">
      <c r="A222" s="71" t="s">
        <v>488</v>
      </c>
      <c r="B222" s="143" t="s">
        <v>405</v>
      </c>
      <c r="C222" s="143" t="s">
        <v>443</v>
      </c>
      <c r="D222" s="163" t="s">
        <v>263</v>
      </c>
      <c r="E222" s="144"/>
      <c r="F222" s="137">
        <f>SUM(F223:F226)</f>
        <v>81439252.77</v>
      </c>
      <c r="G222" s="137">
        <f>SUM(G223:G226)</f>
        <v>93212568.02</v>
      </c>
      <c r="H222" s="137">
        <f>SUM(H223:H226)</f>
        <v>93574751.9</v>
      </c>
      <c r="I222" s="10"/>
      <c r="J222" s="2"/>
    </row>
    <row r="223" spans="1:10" ht="75" customHeight="1">
      <c r="A223" s="71" t="s">
        <v>264</v>
      </c>
      <c r="B223" s="143" t="s">
        <v>405</v>
      </c>
      <c r="C223" s="143" t="s">
        <v>443</v>
      </c>
      <c r="D223" s="163" t="s">
        <v>263</v>
      </c>
      <c r="E223" s="146">
        <v>100</v>
      </c>
      <c r="F223" s="160">
        <v>65215605.81</v>
      </c>
      <c r="G223" s="160">
        <v>81059956</v>
      </c>
      <c r="H223" s="160">
        <v>81059956</v>
      </c>
      <c r="I223" s="10"/>
      <c r="J223" s="2"/>
    </row>
    <row r="224" spans="1:10" ht="30" customHeight="1">
      <c r="A224" s="71" t="s">
        <v>265</v>
      </c>
      <c r="B224" s="143" t="s">
        <v>405</v>
      </c>
      <c r="C224" s="143" t="s">
        <v>443</v>
      </c>
      <c r="D224" s="163" t="s">
        <v>263</v>
      </c>
      <c r="E224" s="146">
        <v>200</v>
      </c>
      <c r="F224" s="160">
        <v>10336209.42</v>
      </c>
      <c r="G224" s="160">
        <v>11652612.02</v>
      </c>
      <c r="H224" s="160">
        <v>12014795.9</v>
      </c>
      <c r="I224" s="10"/>
      <c r="J224" s="2"/>
    </row>
    <row r="225" spans="1:10" ht="15" customHeight="1">
      <c r="A225" s="71" t="s">
        <v>266</v>
      </c>
      <c r="B225" s="143" t="s">
        <v>405</v>
      </c>
      <c r="C225" s="143" t="s">
        <v>443</v>
      </c>
      <c r="D225" s="163" t="s">
        <v>263</v>
      </c>
      <c r="E225" s="146">
        <v>300</v>
      </c>
      <c r="F225" s="160">
        <v>5887437.54</v>
      </c>
      <c r="G225" s="160">
        <v>500000</v>
      </c>
      <c r="H225" s="160">
        <v>500000</v>
      </c>
      <c r="I225" s="10"/>
      <c r="J225" s="2"/>
    </row>
    <row r="226" spans="1:10" ht="15" customHeight="1">
      <c r="A226" s="71" t="s">
        <v>267</v>
      </c>
      <c r="B226" s="143" t="s">
        <v>405</v>
      </c>
      <c r="C226" s="143" t="s">
        <v>443</v>
      </c>
      <c r="D226" s="163" t="s">
        <v>263</v>
      </c>
      <c r="E226" s="146">
        <v>800</v>
      </c>
      <c r="F226" s="160">
        <v>0</v>
      </c>
      <c r="G226" s="160">
        <v>0</v>
      </c>
      <c r="H226" s="160">
        <v>0</v>
      </c>
      <c r="I226" s="10"/>
      <c r="J226" s="2"/>
    </row>
    <row r="227" spans="1:10" ht="16.5" customHeight="1">
      <c r="A227" s="87" t="s">
        <v>386</v>
      </c>
      <c r="B227" s="143" t="s">
        <v>405</v>
      </c>
      <c r="C227" s="143" t="s">
        <v>443</v>
      </c>
      <c r="D227" s="134" t="s">
        <v>387</v>
      </c>
      <c r="E227" s="132"/>
      <c r="F227" s="160">
        <f>F228</f>
        <v>2812716.28</v>
      </c>
      <c r="G227" s="160">
        <f>G228</f>
        <v>0</v>
      </c>
      <c r="H227" s="160">
        <f>H228</f>
        <v>0</v>
      </c>
      <c r="I227" s="10"/>
      <c r="J227" s="2"/>
    </row>
    <row r="228" spans="1:10" ht="15" customHeight="1">
      <c r="A228" s="71" t="s">
        <v>406</v>
      </c>
      <c r="B228" s="143" t="s">
        <v>405</v>
      </c>
      <c r="C228" s="143" t="s">
        <v>443</v>
      </c>
      <c r="D228" s="143" t="s">
        <v>407</v>
      </c>
      <c r="E228" s="144"/>
      <c r="F228" s="160">
        <f>F229</f>
        <v>2812716.28</v>
      </c>
      <c r="G228" s="160">
        <f>G229</f>
        <v>0</v>
      </c>
      <c r="H228" s="160">
        <f>H229</f>
        <v>0</v>
      </c>
      <c r="I228" s="10"/>
      <c r="J228" s="2"/>
    </row>
    <row r="229" spans="1:10" ht="30" customHeight="1">
      <c r="A229" s="71" t="s">
        <v>265</v>
      </c>
      <c r="B229" s="143" t="s">
        <v>405</v>
      </c>
      <c r="C229" s="143" t="s">
        <v>443</v>
      </c>
      <c r="D229" s="143" t="s">
        <v>407</v>
      </c>
      <c r="E229" s="146">
        <v>200</v>
      </c>
      <c r="F229" s="160">
        <v>2812716.28</v>
      </c>
      <c r="G229" s="160">
        <v>0</v>
      </c>
      <c r="H229" s="160">
        <v>0</v>
      </c>
      <c r="I229" s="10"/>
      <c r="J229" s="2"/>
    </row>
    <row r="230" spans="1:10" ht="16.5" customHeight="1">
      <c r="A230" s="87" t="s">
        <v>444</v>
      </c>
      <c r="B230" s="134" t="s">
        <v>445</v>
      </c>
      <c r="C230" s="134"/>
      <c r="D230" s="132"/>
      <c r="E230" s="132"/>
      <c r="F230" s="135">
        <f>F231+F253</f>
        <v>141764678.83</v>
      </c>
      <c r="G230" s="135">
        <f>G231+G253</f>
        <v>254971970</v>
      </c>
      <c r="H230" s="135">
        <f>H231+H253</f>
        <v>150055550</v>
      </c>
      <c r="I230" s="10"/>
      <c r="J230" s="2"/>
    </row>
    <row r="231" spans="1:10" ht="16.5" customHeight="1">
      <c r="A231" s="87" t="s">
        <v>446</v>
      </c>
      <c r="B231" s="134" t="s">
        <v>445</v>
      </c>
      <c r="C231" s="134" t="s">
        <v>383</v>
      </c>
      <c r="D231" s="132"/>
      <c r="E231" s="132"/>
      <c r="F231" s="135">
        <f>F232+F247+F250</f>
        <v>106009473.22</v>
      </c>
      <c r="G231" s="135">
        <f>G232+G247+G250</f>
        <v>215639470</v>
      </c>
      <c r="H231" s="135">
        <f>H232+H247+H250</f>
        <v>110542050</v>
      </c>
      <c r="I231" s="10"/>
      <c r="J231" s="2"/>
    </row>
    <row r="232" spans="1:10" ht="16.5" customHeight="1">
      <c r="A232" s="87" t="s">
        <v>279</v>
      </c>
      <c r="B232" s="134" t="s">
        <v>445</v>
      </c>
      <c r="C232" s="134" t="s">
        <v>383</v>
      </c>
      <c r="D232" s="164" t="s">
        <v>280</v>
      </c>
      <c r="E232" s="132"/>
      <c r="F232" s="135">
        <f>F233+F236+F245</f>
        <v>103204701.38</v>
      </c>
      <c r="G232" s="135">
        <f>G233+G236+G245</f>
        <v>132043080</v>
      </c>
      <c r="H232" s="135">
        <f>H233+H236+H245</f>
        <v>110542050</v>
      </c>
      <c r="I232" s="10"/>
      <c r="J232" s="2"/>
    </row>
    <row r="233" spans="1:10" ht="30" customHeight="1">
      <c r="A233" s="71" t="s">
        <v>282</v>
      </c>
      <c r="B233" s="143" t="s">
        <v>445</v>
      </c>
      <c r="C233" s="143" t="s">
        <v>383</v>
      </c>
      <c r="D233" s="163" t="s">
        <v>283</v>
      </c>
      <c r="E233" s="144"/>
      <c r="F233" s="137">
        <f>SUM(F234:F235)</f>
        <v>2223231.4</v>
      </c>
      <c r="G233" s="137">
        <f>SUM(G234:G235)</f>
        <v>2399400</v>
      </c>
      <c r="H233" s="137">
        <f>SUM(H234:H235)</f>
        <v>2471400</v>
      </c>
      <c r="I233" s="10"/>
      <c r="J233" s="2"/>
    </row>
    <row r="234" spans="1:10" ht="30" customHeight="1">
      <c r="A234" s="71" t="s">
        <v>265</v>
      </c>
      <c r="B234" s="143" t="s">
        <v>445</v>
      </c>
      <c r="C234" s="143" t="s">
        <v>383</v>
      </c>
      <c r="D234" s="163" t="s">
        <v>283</v>
      </c>
      <c r="E234" s="146">
        <v>200</v>
      </c>
      <c r="F234" s="137">
        <v>2223231.4</v>
      </c>
      <c r="G234" s="137">
        <v>2389100</v>
      </c>
      <c r="H234" s="137">
        <v>2460800</v>
      </c>
      <c r="I234" s="10"/>
      <c r="J234" s="2"/>
    </row>
    <row r="235" spans="1:10" ht="15" customHeight="1">
      <c r="A235" s="71" t="s">
        <v>267</v>
      </c>
      <c r="B235" s="143" t="s">
        <v>445</v>
      </c>
      <c r="C235" s="143" t="s">
        <v>383</v>
      </c>
      <c r="D235" s="163" t="s">
        <v>283</v>
      </c>
      <c r="E235" s="146">
        <v>800</v>
      </c>
      <c r="F235" s="137">
        <v>0</v>
      </c>
      <c r="G235" s="137">
        <v>10300</v>
      </c>
      <c r="H235" s="137">
        <v>10600</v>
      </c>
      <c r="I235" s="10"/>
      <c r="J235" s="2"/>
    </row>
    <row r="236" spans="1:10" ht="45" customHeight="1">
      <c r="A236" s="170" t="s">
        <v>489</v>
      </c>
      <c r="B236" s="143" t="s">
        <v>445</v>
      </c>
      <c r="C236" s="143" t="s">
        <v>383</v>
      </c>
      <c r="D236" s="163" t="s">
        <v>285</v>
      </c>
      <c r="E236" s="144"/>
      <c r="F236" s="137">
        <f>F237+F241</f>
        <v>100981469.98</v>
      </c>
      <c r="G236" s="137">
        <f>G237+G241</f>
        <v>107191050</v>
      </c>
      <c r="H236" s="137">
        <f>H237+H241</f>
        <v>108070650</v>
      </c>
      <c r="I236" s="10"/>
      <c r="J236" s="2"/>
    </row>
    <row r="237" spans="1:10" ht="15" customHeight="1">
      <c r="A237" s="170" t="s">
        <v>286</v>
      </c>
      <c r="B237" s="143" t="s">
        <v>445</v>
      </c>
      <c r="C237" s="143" t="s">
        <v>383</v>
      </c>
      <c r="D237" s="163" t="s">
        <v>490</v>
      </c>
      <c r="E237" s="144"/>
      <c r="F237" s="137">
        <f>SUM(F238:F240)</f>
        <v>78487210.21</v>
      </c>
      <c r="G237" s="137">
        <f>SUM(G238:G240)</f>
        <v>83779100</v>
      </c>
      <c r="H237" s="137">
        <f>SUM(H238:H240)</f>
        <v>84400500</v>
      </c>
      <c r="I237" s="10"/>
      <c r="J237" s="2"/>
    </row>
    <row r="238" spans="1:10" ht="75" customHeight="1">
      <c r="A238" s="71" t="s">
        <v>264</v>
      </c>
      <c r="B238" s="143" t="s">
        <v>445</v>
      </c>
      <c r="C238" s="143" t="s">
        <v>383</v>
      </c>
      <c r="D238" s="163" t="s">
        <v>285</v>
      </c>
      <c r="E238" s="146">
        <v>100</v>
      </c>
      <c r="F238" s="160">
        <v>59414961</v>
      </c>
      <c r="G238" s="160">
        <v>62813000</v>
      </c>
      <c r="H238" s="160">
        <v>62815000</v>
      </c>
      <c r="I238" s="10"/>
      <c r="J238" s="2"/>
    </row>
    <row r="239" spans="1:10" ht="30" customHeight="1">
      <c r="A239" s="71" t="s">
        <v>265</v>
      </c>
      <c r="B239" s="143" t="s">
        <v>445</v>
      </c>
      <c r="C239" s="143" t="s">
        <v>383</v>
      </c>
      <c r="D239" s="163" t="s">
        <v>285</v>
      </c>
      <c r="E239" s="146">
        <v>200</v>
      </c>
      <c r="F239" s="160">
        <v>18753091.21</v>
      </c>
      <c r="G239" s="160">
        <v>20445000</v>
      </c>
      <c r="H239" s="160">
        <v>21048800</v>
      </c>
      <c r="I239" s="10"/>
      <c r="J239" s="2"/>
    </row>
    <row r="240" spans="1:10" ht="15" customHeight="1">
      <c r="A240" s="71" t="s">
        <v>267</v>
      </c>
      <c r="B240" s="143" t="s">
        <v>445</v>
      </c>
      <c r="C240" s="143" t="s">
        <v>383</v>
      </c>
      <c r="D240" s="163" t="s">
        <v>285</v>
      </c>
      <c r="E240" s="146">
        <v>800</v>
      </c>
      <c r="F240" s="160">
        <v>319158</v>
      </c>
      <c r="G240" s="160">
        <v>521100</v>
      </c>
      <c r="H240" s="160">
        <v>536700</v>
      </c>
      <c r="I240" s="10"/>
      <c r="J240" s="2"/>
    </row>
    <row r="241" spans="1:10" ht="15" customHeight="1">
      <c r="A241" s="71" t="s">
        <v>287</v>
      </c>
      <c r="B241" s="143" t="s">
        <v>445</v>
      </c>
      <c r="C241" s="143" t="s">
        <v>383</v>
      </c>
      <c r="D241" s="163" t="s">
        <v>491</v>
      </c>
      <c r="E241" s="144"/>
      <c r="F241" s="160">
        <f>SUM(F242:F244)</f>
        <v>22494259.77</v>
      </c>
      <c r="G241" s="160">
        <f>SUM(G242:G244)</f>
        <v>23411950</v>
      </c>
      <c r="H241" s="160">
        <f>SUM(H242:H244)</f>
        <v>23670150</v>
      </c>
      <c r="I241" s="10"/>
      <c r="J241" s="2"/>
    </row>
    <row r="242" spans="1:10" ht="75" customHeight="1">
      <c r="A242" s="71" t="s">
        <v>264</v>
      </c>
      <c r="B242" s="143" t="s">
        <v>445</v>
      </c>
      <c r="C242" s="143" t="s">
        <v>383</v>
      </c>
      <c r="D242" s="163" t="s">
        <v>285</v>
      </c>
      <c r="E242" s="146">
        <v>100</v>
      </c>
      <c r="F242" s="160">
        <v>20400599.4</v>
      </c>
      <c r="G242" s="160">
        <v>20798350</v>
      </c>
      <c r="H242" s="160">
        <v>20985450</v>
      </c>
      <c r="I242" s="10"/>
      <c r="J242" s="2"/>
    </row>
    <row r="243" spans="1:10" ht="30" customHeight="1">
      <c r="A243" s="71" t="s">
        <v>265</v>
      </c>
      <c r="B243" s="143" t="s">
        <v>445</v>
      </c>
      <c r="C243" s="143" t="s">
        <v>383</v>
      </c>
      <c r="D243" s="163" t="s">
        <v>285</v>
      </c>
      <c r="E243" s="146">
        <v>200</v>
      </c>
      <c r="F243" s="160">
        <v>2090229.37</v>
      </c>
      <c r="G243" s="160">
        <v>2526000</v>
      </c>
      <c r="H243" s="160">
        <v>2594500</v>
      </c>
      <c r="I243" s="10"/>
      <c r="J243" s="2"/>
    </row>
    <row r="244" spans="1:10" ht="15" customHeight="1">
      <c r="A244" s="71" t="s">
        <v>267</v>
      </c>
      <c r="B244" s="143" t="s">
        <v>445</v>
      </c>
      <c r="C244" s="143" t="s">
        <v>383</v>
      </c>
      <c r="D244" s="163" t="s">
        <v>285</v>
      </c>
      <c r="E244" s="146">
        <v>800</v>
      </c>
      <c r="F244" s="160">
        <v>3431</v>
      </c>
      <c r="G244" s="160">
        <v>87600</v>
      </c>
      <c r="H244" s="160">
        <v>90200</v>
      </c>
      <c r="I244" s="10"/>
      <c r="J244" s="2"/>
    </row>
    <row r="245" spans="1:10" ht="31.5" customHeight="1">
      <c r="A245" s="87" t="s">
        <v>288</v>
      </c>
      <c r="B245" s="134" t="s">
        <v>445</v>
      </c>
      <c r="C245" s="134" t="s">
        <v>383</v>
      </c>
      <c r="D245" s="164" t="s">
        <v>289</v>
      </c>
      <c r="E245" s="132"/>
      <c r="F245" s="173">
        <f>F246</f>
        <v>0</v>
      </c>
      <c r="G245" s="173">
        <f>G246</f>
        <v>22452630</v>
      </c>
      <c r="H245" s="173">
        <f>H246</f>
        <v>0</v>
      </c>
      <c r="I245" s="10"/>
      <c r="J245" s="2"/>
    </row>
    <row r="246" spans="1:10" ht="30" customHeight="1">
      <c r="A246" s="71" t="s">
        <v>290</v>
      </c>
      <c r="B246" s="143" t="s">
        <v>445</v>
      </c>
      <c r="C246" s="143" t="s">
        <v>383</v>
      </c>
      <c r="D246" s="163" t="s">
        <v>289</v>
      </c>
      <c r="E246" s="146">
        <v>400</v>
      </c>
      <c r="F246" s="160">
        <v>0</v>
      </c>
      <c r="G246" s="160">
        <v>22452630</v>
      </c>
      <c r="H246" s="160">
        <v>0</v>
      </c>
      <c r="I246" s="10"/>
      <c r="J246" s="2"/>
    </row>
    <row r="247" spans="1:10" ht="31.5" customHeight="1">
      <c r="A247" s="87" t="s">
        <v>374</v>
      </c>
      <c r="B247" s="143" t="s">
        <v>445</v>
      </c>
      <c r="C247" s="143" t="s">
        <v>383</v>
      </c>
      <c r="D247" s="164" t="s">
        <v>492</v>
      </c>
      <c r="E247" s="132"/>
      <c r="F247" s="173">
        <f>F248</f>
        <v>2509576.84</v>
      </c>
      <c r="G247" s="173">
        <f>G248</f>
        <v>83596390</v>
      </c>
      <c r="H247" s="173">
        <f>H248</f>
        <v>0</v>
      </c>
      <c r="I247" s="10"/>
      <c r="J247" s="2"/>
    </row>
    <row r="248" spans="1:10" ht="31.5" customHeight="1">
      <c r="A248" s="87" t="s">
        <v>375</v>
      </c>
      <c r="B248" s="143" t="s">
        <v>445</v>
      </c>
      <c r="C248" s="143" t="s">
        <v>383</v>
      </c>
      <c r="D248" s="164" t="s">
        <v>493</v>
      </c>
      <c r="E248" s="132"/>
      <c r="F248" s="173">
        <f>F249</f>
        <v>2509576.84</v>
      </c>
      <c r="G248" s="173">
        <f>G249</f>
        <v>83596390</v>
      </c>
      <c r="H248" s="173">
        <f>H249</f>
        <v>0</v>
      </c>
      <c r="I248" s="10"/>
      <c r="J248" s="2"/>
    </row>
    <row r="249" spans="1:10" ht="30" customHeight="1">
      <c r="A249" s="71" t="s">
        <v>290</v>
      </c>
      <c r="B249" s="143" t="s">
        <v>445</v>
      </c>
      <c r="C249" s="143" t="s">
        <v>383</v>
      </c>
      <c r="D249" s="163" t="s">
        <v>493</v>
      </c>
      <c r="E249" s="146">
        <v>400</v>
      </c>
      <c r="F249" s="160">
        <v>2509576.84</v>
      </c>
      <c r="G249" s="160">
        <v>83596390</v>
      </c>
      <c r="H249" s="160">
        <v>0</v>
      </c>
      <c r="I249" s="10"/>
      <c r="J249" s="2"/>
    </row>
    <row r="250" spans="1:10" ht="16.5" customHeight="1">
      <c r="A250" s="87" t="s">
        <v>386</v>
      </c>
      <c r="B250" s="134" t="s">
        <v>445</v>
      </c>
      <c r="C250" s="134" t="s">
        <v>383</v>
      </c>
      <c r="D250" s="134" t="s">
        <v>387</v>
      </c>
      <c r="E250" s="132"/>
      <c r="F250" s="173">
        <f>F251</f>
        <v>295195</v>
      </c>
      <c r="G250" s="173">
        <f>G251</f>
        <v>0</v>
      </c>
      <c r="H250" s="173">
        <f>H251</f>
        <v>0</v>
      </c>
      <c r="I250" s="10"/>
      <c r="J250" s="2"/>
    </row>
    <row r="251" spans="1:10" ht="15" customHeight="1">
      <c r="A251" s="71" t="s">
        <v>406</v>
      </c>
      <c r="B251" s="143" t="s">
        <v>445</v>
      </c>
      <c r="C251" s="143" t="s">
        <v>383</v>
      </c>
      <c r="D251" s="143" t="s">
        <v>407</v>
      </c>
      <c r="E251" s="144"/>
      <c r="F251" s="160">
        <f>F252</f>
        <v>295195</v>
      </c>
      <c r="G251" s="160">
        <f>G252</f>
        <v>0</v>
      </c>
      <c r="H251" s="160">
        <f>H252</f>
        <v>0</v>
      </c>
      <c r="I251" s="10"/>
      <c r="J251" s="2"/>
    </row>
    <row r="252" spans="1:10" ht="30" customHeight="1">
      <c r="A252" s="71" t="s">
        <v>265</v>
      </c>
      <c r="B252" s="143" t="s">
        <v>445</v>
      </c>
      <c r="C252" s="143" t="s">
        <v>383</v>
      </c>
      <c r="D252" s="143" t="s">
        <v>407</v>
      </c>
      <c r="E252" s="146">
        <v>200</v>
      </c>
      <c r="F252" s="160">
        <v>295195</v>
      </c>
      <c r="G252" s="160">
        <v>0</v>
      </c>
      <c r="H252" s="160">
        <v>0</v>
      </c>
      <c r="I252" s="10"/>
      <c r="J252" s="2"/>
    </row>
    <row r="253" spans="1:10" ht="31.5" customHeight="1">
      <c r="A253" s="87" t="s">
        <v>494</v>
      </c>
      <c r="B253" s="134" t="s">
        <v>445</v>
      </c>
      <c r="C253" s="134" t="s">
        <v>397</v>
      </c>
      <c r="D253" s="132"/>
      <c r="E253" s="132"/>
      <c r="F253" s="135">
        <f>F254</f>
        <v>35755205.61</v>
      </c>
      <c r="G253" s="135">
        <f>G254</f>
        <v>39332500</v>
      </c>
      <c r="H253" s="135">
        <f>H254</f>
        <v>39513500</v>
      </c>
      <c r="I253" s="10"/>
      <c r="J253" s="2"/>
    </row>
    <row r="254" spans="1:10" ht="16.5" customHeight="1">
      <c r="A254" s="87" t="s">
        <v>279</v>
      </c>
      <c r="B254" s="134" t="s">
        <v>445</v>
      </c>
      <c r="C254" s="134" t="s">
        <v>397</v>
      </c>
      <c r="D254" s="164" t="s">
        <v>280</v>
      </c>
      <c r="E254" s="132"/>
      <c r="F254" s="137">
        <f>F255</f>
        <v>35755205.61</v>
      </c>
      <c r="G254" s="137">
        <f>G255</f>
        <v>39332500</v>
      </c>
      <c r="H254" s="137">
        <f>H255</f>
        <v>39513500</v>
      </c>
      <c r="I254" s="10"/>
      <c r="J254" s="2"/>
    </row>
    <row r="255" spans="1:10" ht="15" customHeight="1">
      <c r="A255" s="71" t="s">
        <v>262</v>
      </c>
      <c r="B255" s="143" t="s">
        <v>445</v>
      </c>
      <c r="C255" s="143" t="s">
        <v>397</v>
      </c>
      <c r="D255" s="163" t="s">
        <v>281</v>
      </c>
      <c r="E255" s="144"/>
      <c r="F255" s="137">
        <f>F256+F257+F259+F258</f>
        <v>35755205.61</v>
      </c>
      <c r="G255" s="137">
        <f>G256+G257+G259+G258</f>
        <v>39332500</v>
      </c>
      <c r="H255" s="137">
        <f>H256+H257+H259+H258</f>
        <v>39513500</v>
      </c>
      <c r="I255" s="10"/>
      <c r="J255" s="2"/>
    </row>
    <row r="256" spans="1:10" ht="75" customHeight="1">
      <c r="A256" s="71" t="s">
        <v>264</v>
      </c>
      <c r="B256" s="143" t="s">
        <v>445</v>
      </c>
      <c r="C256" s="143" t="s">
        <v>397</v>
      </c>
      <c r="D256" s="163" t="s">
        <v>281</v>
      </c>
      <c r="E256" s="146">
        <v>100</v>
      </c>
      <c r="F256" s="145">
        <v>29348547.98</v>
      </c>
      <c r="G256" s="145">
        <v>30908100</v>
      </c>
      <c r="H256" s="145">
        <v>30962600</v>
      </c>
      <c r="I256" s="10"/>
      <c r="J256" s="2"/>
    </row>
    <row r="257" spans="1:10" ht="30" customHeight="1">
      <c r="A257" s="174" t="s">
        <v>265</v>
      </c>
      <c r="B257" s="143" t="s">
        <v>445</v>
      </c>
      <c r="C257" s="143" t="s">
        <v>397</v>
      </c>
      <c r="D257" s="143" t="s">
        <v>281</v>
      </c>
      <c r="E257" s="161">
        <v>200</v>
      </c>
      <c r="F257" s="145">
        <v>5167476.84</v>
      </c>
      <c r="G257" s="145">
        <v>8414100</v>
      </c>
      <c r="H257" s="145">
        <v>8540300</v>
      </c>
      <c r="I257" s="10"/>
      <c r="J257" s="2"/>
    </row>
    <row r="258" spans="1:10" ht="15" customHeight="1">
      <c r="A258" s="174" t="s">
        <v>266</v>
      </c>
      <c r="B258" s="143" t="s">
        <v>445</v>
      </c>
      <c r="C258" s="143" t="s">
        <v>397</v>
      </c>
      <c r="D258" s="143" t="s">
        <v>281</v>
      </c>
      <c r="E258" s="161">
        <v>300</v>
      </c>
      <c r="F258" s="145">
        <v>1234730.79</v>
      </c>
      <c r="G258" s="145">
        <v>0</v>
      </c>
      <c r="H258" s="145">
        <v>0</v>
      </c>
      <c r="I258" s="10"/>
      <c r="J258" s="2"/>
    </row>
    <row r="259" spans="1:10" ht="15" customHeight="1">
      <c r="A259" s="71" t="s">
        <v>267</v>
      </c>
      <c r="B259" s="143" t="s">
        <v>445</v>
      </c>
      <c r="C259" s="143" t="s">
        <v>397</v>
      </c>
      <c r="D259" s="163" t="s">
        <v>281</v>
      </c>
      <c r="E259" s="146">
        <v>800</v>
      </c>
      <c r="F259" s="145">
        <v>4450</v>
      </c>
      <c r="G259" s="145">
        <v>10300</v>
      </c>
      <c r="H259" s="145">
        <v>10600</v>
      </c>
      <c r="I259" s="10"/>
      <c r="J259" s="2"/>
    </row>
    <row r="260" spans="1:10" ht="16.5" customHeight="1">
      <c r="A260" s="87" t="s">
        <v>447</v>
      </c>
      <c r="B260" s="134" t="s">
        <v>443</v>
      </c>
      <c r="C260" s="134"/>
      <c r="D260" s="164"/>
      <c r="E260" s="132"/>
      <c r="F260" s="141">
        <f>F261</f>
        <v>41046340.68</v>
      </c>
      <c r="G260" s="141">
        <f>G261</f>
        <v>28400000</v>
      </c>
      <c r="H260" s="141">
        <f>H261</f>
        <v>0</v>
      </c>
      <c r="I260" s="10"/>
      <c r="J260" s="2"/>
    </row>
    <row r="261" spans="1:10" ht="16.5" customHeight="1">
      <c r="A261" s="87" t="s">
        <v>448</v>
      </c>
      <c r="B261" s="134" t="s">
        <v>443</v>
      </c>
      <c r="C261" s="134" t="s">
        <v>443</v>
      </c>
      <c r="D261" s="164"/>
      <c r="E261" s="132"/>
      <c r="F261" s="141">
        <f>F262+F265</f>
        <v>41046340.68</v>
      </c>
      <c r="G261" s="141">
        <f>G262+G265</f>
        <v>28400000</v>
      </c>
      <c r="H261" s="141">
        <f>H262+H265</f>
        <v>0</v>
      </c>
      <c r="I261" s="10"/>
      <c r="J261" s="2"/>
    </row>
    <row r="262" spans="1:10" ht="16.5" customHeight="1">
      <c r="A262" s="87" t="s">
        <v>372</v>
      </c>
      <c r="B262" s="134" t="s">
        <v>443</v>
      </c>
      <c r="C262" s="134" t="s">
        <v>443</v>
      </c>
      <c r="D262" s="142">
        <v>1300000000</v>
      </c>
      <c r="E262" s="175"/>
      <c r="F262" s="145">
        <f>F263</f>
        <v>38277708.68</v>
      </c>
      <c r="G262" s="145">
        <f>G263</f>
        <v>28400000</v>
      </c>
      <c r="H262" s="145">
        <f>H263</f>
        <v>0</v>
      </c>
      <c r="I262" s="10"/>
      <c r="J262" s="2"/>
    </row>
    <row r="263" spans="1:10" ht="45" customHeight="1">
      <c r="A263" s="71" t="s">
        <v>373</v>
      </c>
      <c r="B263" s="143" t="s">
        <v>443</v>
      </c>
      <c r="C263" s="143" t="s">
        <v>443</v>
      </c>
      <c r="D263" s="161">
        <v>1320000000</v>
      </c>
      <c r="E263" s="162"/>
      <c r="F263" s="145">
        <f>F264</f>
        <v>38277708.68</v>
      </c>
      <c r="G263" s="145">
        <f>G264</f>
        <v>28400000</v>
      </c>
      <c r="H263" s="145">
        <f>H264</f>
        <v>0</v>
      </c>
      <c r="I263" s="10"/>
      <c r="J263" s="2"/>
    </row>
    <row r="264" spans="1:10" ht="30" customHeight="1">
      <c r="A264" s="71" t="s">
        <v>265</v>
      </c>
      <c r="B264" s="143" t="s">
        <v>443</v>
      </c>
      <c r="C264" s="143" t="s">
        <v>443</v>
      </c>
      <c r="D264" s="161">
        <v>1320000000</v>
      </c>
      <c r="E264" s="161">
        <v>200</v>
      </c>
      <c r="F264" s="145">
        <v>38277708.68</v>
      </c>
      <c r="G264" s="145">
        <v>28400000</v>
      </c>
      <c r="H264" s="145">
        <v>0</v>
      </c>
      <c r="I264" s="10"/>
      <c r="J264" s="2"/>
    </row>
    <row r="265" spans="1:10" ht="16.5" customHeight="1">
      <c r="A265" s="87" t="s">
        <v>386</v>
      </c>
      <c r="B265" s="134" t="s">
        <v>443</v>
      </c>
      <c r="C265" s="134" t="s">
        <v>443</v>
      </c>
      <c r="D265" s="134" t="s">
        <v>387</v>
      </c>
      <c r="E265" s="162"/>
      <c r="F265" s="141">
        <f>F266</f>
        <v>2768632</v>
      </c>
      <c r="G265" s="141">
        <f>G266</f>
        <v>0</v>
      </c>
      <c r="H265" s="141">
        <f>H266</f>
        <v>0</v>
      </c>
      <c r="I265" s="10"/>
      <c r="J265" s="2"/>
    </row>
    <row r="266" spans="1:10" ht="15" customHeight="1">
      <c r="A266" s="71" t="s">
        <v>406</v>
      </c>
      <c r="B266" s="143" t="s">
        <v>443</v>
      </c>
      <c r="C266" s="143" t="s">
        <v>443</v>
      </c>
      <c r="D266" s="143" t="s">
        <v>407</v>
      </c>
      <c r="E266" s="162"/>
      <c r="F266" s="145">
        <f>F267</f>
        <v>2768632</v>
      </c>
      <c r="G266" s="145">
        <f>G267</f>
        <v>0</v>
      </c>
      <c r="H266" s="145">
        <f>H267</f>
        <v>0</v>
      </c>
      <c r="I266" s="10"/>
      <c r="J266" s="2"/>
    </row>
    <row r="267" spans="1:10" ht="30" customHeight="1">
      <c r="A267" s="71" t="s">
        <v>265</v>
      </c>
      <c r="B267" s="143" t="s">
        <v>443</v>
      </c>
      <c r="C267" s="143" t="s">
        <v>443</v>
      </c>
      <c r="D267" s="143" t="s">
        <v>407</v>
      </c>
      <c r="E267" s="161">
        <v>200</v>
      </c>
      <c r="F267" s="145">
        <v>2768632</v>
      </c>
      <c r="G267" s="145">
        <v>0</v>
      </c>
      <c r="H267" s="145">
        <v>0</v>
      </c>
      <c r="I267" s="10"/>
      <c r="J267" s="2"/>
    </row>
    <row r="268" spans="1:10" ht="16.5" customHeight="1">
      <c r="A268" s="87" t="s">
        <v>449</v>
      </c>
      <c r="B268" s="134" t="s">
        <v>422</v>
      </c>
      <c r="C268" s="134"/>
      <c r="D268" s="134"/>
      <c r="E268" s="134"/>
      <c r="F268" s="135">
        <f>F269+F276+F289+F305</f>
        <v>114370087.85</v>
      </c>
      <c r="G268" s="135">
        <f>G269+G276+G289+G305</f>
        <v>92821576.39</v>
      </c>
      <c r="H268" s="135">
        <f>H269+H276+H289+H305</f>
        <v>95967838.01</v>
      </c>
      <c r="I268" s="10"/>
      <c r="J268" s="2"/>
    </row>
    <row r="269" spans="1:10" ht="16.5" customHeight="1">
      <c r="A269" s="87" t="s">
        <v>450</v>
      </c>
      <c r="B269" s="134" t="s">
        <v>422</v>
      </c>
      <c r="C269" s="134" t="s">
        <v>383</v>
      </c>
      <c r="D269" s="134"/>
      <c r="E269" s="134"/>
      <c r="F269" s="135">
        <f>F270+F273</f>
        <v>8398869.18</v>
      </c>
      <c r="G269" s="135">
        <f>G270+G273</f>
        <v>7421786.96</v>
      </c>
      <c r="H269" s="135">
        <f>H270+H273</f>
        <v>7661786.96</v>
      </c>
      <c r="I269" s="10"/>
      <c r="J269" s="2"/>
    </row>
    <row r="270" spans="1:10" ht="16.5" customHeight="1">
      <c r="A270" s="87" t="s">
        <v>331</v>
      </c>
      <c r="B270" s="134" t="s">
        <v>422</v>
      </c>
      <c r="C270" s="134" t="s">
        <v>383</v>
      </c>
      <c r="D270" s="134" t="s">
        <v>332</v>
      </c>
      <c r="E270" s="134"/>
      <c r="F270" s="135">
        <f>F271</f>
        <v>5008010</v>
      </c>
      <c r="G270" s="135">
        <f>G271</f>
        <v>4223000</v>
      </c>
      <c r="H270" s="135">
        <f>H271</f>
        <v>4223000</v>
      </c>
      <c r="I270" s="10"/>
      <c r="J270" s="2"/>
    </row>
    <row r="271" spans="1:10" ht="30" customHeight="1">
      <c r="A271" s="71" t="s">
        <v>333</v>
      </c>
      <c r="B271" s="143" t="s">
        <v>422</v>
      </c>
      <c r="C271" s="143" t="s">
        <v>383</v>
      </c>
      <c r="D271" s="143" t="s">
        <v>334</v>
      </c>
      <c r="E271" s="143"/>
      <c r="F271" s="137">
        <f>F272</f>
        <v>5008010</v>
      </c>
      <c r="G271" s="137">
        <f>G272</f>
        <v>4223000</v>
      </c>
      <c r="H271" s="137">
        <f>H272</f>
        <v>4223000</v>
      </c>
      <c r="I271" s="10"/>
      <c r="J271" s="2"/>
    </row>
    <row r="272" spans="1:10" ht="15" customHeight="1">
      <c r="A272" s="71" t="s">
        <v>266</v>
      </c>
      <c r="B272" s="143" t="s">
        <v>422</v>
      </c>
      <c r="C272" s="143" t="s">
        <v>383</v>
      </c>
      <c r="D272" s="143" t="s">
        <v>334</v>
      </c>
      <c r="E272" s="143" t="s">
        <v>335</v>
      </c>
      <c r="F272" s="137">
        <f>4091900+506916+409194</f>
        <v>5008010</v>
      </c>
      <c r="G272" s="137">
        <v>4223000</v>
      </c>
      <c r="H272" s="137">
        <v>4223000</v>
      </c>
      <c r="I272" s="10"/>
      <c r="J272" s="2"/>
    </row>
    <row r="273" spans="1:10" ht="16.5" customHeight="1">
      <c r="A273" s="87" t="s">
        <v>386</v>
      </c>
      <c r="B273" s="134" t="s">
        <v>422</v>
      </c>
      <c r="C273" s="134" t="s">
        <v>383</v>
      </c>
      <c r="D273" s="134" t="s">
        <v>387</v>
      </c>
      <c r="E273" s="134"/>
      <c r="F273" s="135">
        <f>F274</f>
        <v>3390859.18</v>
      </c>
      <c r="G273" s="135">
        <f>G274</f>
        <v>3198786.96</v>
      </c>
      <c r="H273" s="135">
        <f>H274</f>
        <v>3438786.96</v>
      </c>
      <c r="I273" s="10"/>
      <c r="J273" s="2"/>
    </row>
    <row r="274" spans="1:10" ht="15" customHeight="1">
      <c r="A274" s="71" t="s">
        <v>406</v>
      </c>
      <c r="B274" s="143" t="s">
        <v>422</v>
      </c>
      <c r="C274" s="143" t="s">
        <v>383</v>
      </c>
      <c r="D274" s="143" t="s">
        <v>407</v>
      </c>
      <c r="E274" s="143"/>
      <c r="F274" s="137">
        <f>F275</f>
        <v>3390859.18</v>
      </c>
      <c r="G274" s="137">
        <f>G275</f>
        <v>3198786.96</v>
      </c>
      <c r="H274" s="137">
        <f>H275</f>
        <v>3438786.96</v>
      </c>
      <c r="I274" s="10"/>
      <c r="J274" s="2"/>
    </row>
    <row r="275" spans="1:10" ht="15" customHeight="1">
      <c r="A275" s="71" t="s">
        <v>266</v>
      </c>
      <c r="B275" s="143" t="s">
        <v>422</v>
      </c>
      <c r="C275" s="143" t="s">
        <v>383</v>
      </c>
      <c r="D275" s="143" t="s">
        <v>407</v>
      </c>
      <c r="E275" s="143" t="s">
        <v>335</v>
      </c>
      <c r="F275" s="137">
        <v>3390859.18</v>
      </c>
      <c r="G275" s="137">
        <v>3198786.96</v>
      </c>
      <c r="H275" s="137">
        <v>3438786.96</v>
      </c>
      <c r="I275" s="10"/>
      <c r="J275" s="2"/>
    </row>
    <row r="276" spans="1:10" ht="16.5" customHeight="1">
      <c r="A276" s="87" t="s">
        <v>452</v>
      </c>
      <c r="B276" s="134" t="s">
        <v>422</v>
      </c>
      <c r="C276" s="134" t="s">
        <v>393</v>
      </c>
      <c r="D276" s="134"/>
      <c r="E276" s="134"/>
      <c r="F276" s="135">
        <f>F277+F281+F285</f>
        <v>54995697.74</v>
      </c>
      <c r="G276" s="135">
        <f>G277+G281+G285</f>
        <v>36900000</v>
      </c>
      <c r="H276" s="135">
        <f>H277+H281+H285</f>
        <v>36900000</v>
      </c>
      <c r="I276" s="10"/>
      <c r="J276" s="2"/>
    </row>
    <row r="277" spans="1:10" ht="47.25" customHeight="1">
      <c r="A277" s="87" t="s">
        <v>338</v>
      </c>
      <c r="B277" s="134" t="s">
        <v>422</v>
      </c>
      <c r="C277" s="134" t="s">
        <v>393</v>
      </c>
      <c r="D277" s="134" t="s">
        <v>339</v>
      </c>
      <c r="E277" s="134"/>
      <c r="F277" s="135">
        <f>F278</f>
        <v>25698990.32</v>
      </c>
      <c r="G277" s="135">
        <f>G278</f>
        <v>30900000</v>
      </c>
      <c r="H277" s="135">
        <f>H278</f>
        <v>30900000</v>
      </c>
      <c r="I277" s="10"/>
      <c r="J277" s="2"/>
    </row>
    <row r="278" spans="1:10" ht="30.75" customHeight="1">
      <c r="A278" s="71" t="s">
        <v>342</v>
      </c>
      <c r="B278" s="143" t="s">
        <v>422</v>
      </c>
      <c r="C278" s="143" t="s">
        <v>393</v>
      </c>
      <c r="D278" s="143" t="s">
        <v>343</v>
      </c>
      <c r="E278" s="143"/>
      <c r="F278" s="137">
        <f>F279+F280</f>
        <v>25698990.32</v>
      </c>
      <c r="G278" s="137">
        <f>G279+G280</f>
        <v>30900000</v>
      </c>
      <c r="H278" s="137">
        <f>H279+H280</f>
        <v>30900000</v>
      </c>
      <c r="I278" s="10"/>
      <c r="J278" s="2"/>
    </row>
    <row r="279" spans="1:10" ht="16.5" customHeight="1">
      <c r="A279" s="71" t="s">
        <v>266</v>
      </c>
      <c r="B279" s="143" t="s">
        <v>422</v>
      </c>
      <c r="C279" s="143" t="s">
        <v>393</v>
      </c>
      <c r="D279" s="143" t="s">
        <v>343</v>
      </c>
      <c r="E279" s="143" t="s">
        <v>335</v>
      </c>
      <c r="F279" s="137">
        <v>10298990.32</v>
      </c>
      <c r="G279" s="137">
        <v>15300000</v>
      </c>
      <c r="H279" s="137">
        <v>15300000</v>
      </c>
      <c r="I279" s="10"/>
      <c r="J279" s="2"/>
    </row>
    <row r="280" spans="1:10" ht="30.75" customHeight="1">
      <c r="A280" s="71" t="s">
        <v>290</v>
      </c>
      <c r="B280" s="143" t="s">
        <v>422</v>
      </c>
      <c r="C280" s="143" t="s">
        <v>393</v>
      </c>
      <c r="D280" s="143" t="s">
        <v>343</v>
      </c>
      <c r="E280" s="143" t="s">
        <v>344</v>
      </c>
      <c r="F280" s="137">
        <v>15400000</v>
      </c>
      <c r="G280" s="137">
        <v>15600000</v>
      </c>
      <c r="H280" s="137">
        <v>15600000</v>
      </c>
      <c r="I280" s="10"/>
      <c r="J280" s="2"/>
    </row>
    <row r="281" spans="1:10" ht="47.25" customHeight="1">
      <c r="A281" s="87" t="s">
        <v>364</v>
      </c>
      <c r="B281" s="134" t="s">
        <v>422</v>
      </c>
      <c r="C281" s="134" t="s">
        <v>393</v>
      </c>
      <c r="D281" s="134" t="s">
        <v>495</v>
      </c>
      <c r="E281" s="134"/>
      <c r="F281" s="135">
        <f>F282</f>
        <v>3487500</v>
      </c>
      <c r="G281" s="135">
        <f>G282</f>
        <v>6000000</v>
      </c>
      <c r="H281" s="135">
        <f>H282</f>
        <v>6000000</v>
      </c>
      <c r="I281" s="10"/>
      <c r="J281" s="2"/>
    </row>
    <row r="282" spans="1:10" ht="16.5" customHeight="1">
      <c r="A282" s="71" t="s">
        <v>365</v>
      </c>
      <c r="B282" s="143" t="s">
        <v>422</v>
      </c>
      <c r="C282" s="143" t="s">
        <v>393</v>
      </c>
      <c r="D282" s="143" t="s">
        <v>496</v>
      </c>
      <c r="E282" s="143"/>
      <c r="F282" s="137">
        <f>F283+F284</f>
        <v>3487500</v>
      </c>
      <c r="G282" s="137">
        <f>G283+G284</f>
        <v>6000000</v>
      </c>
      <c r="H282" s="137">
        <f>H283+H284</f>
        <v>6000000</v>
      </c>
      <c r="I282" s="10"/>
      <c r="J282" s="2"/>
    </row>
    <row r="283" spans="1:10" ht="30.75" customHeight="1">
      <c r="A283" s="71" t="s">
        <v>265</v>
      </c>
      <c r="B283" s="143" t="s">
        <v>422</v>
      </c>
      <c r="C283" s="143" t="s">
        <v>393</v>
      </c>
      <c r="D283" s="143" t="s">
        <v>496</v>
      </c>
      <c r="E283" s="143" t="s">
        <v>330</v>
      </c>
      <c r="F283" s="137">
        <v>80000</v>
      </c>
      <c r="G283" s="137">
        <v>300000</v>
      </c>
      <c r="H283" s="137">
        <v>300000</v>
      </c>
      <c r="I283" s="10"/>
      <c r="J283" s="2"/>
    </row>
    <row r="284" spans="1:10" ht="30.75" customHeight="1">
      <c r="A284" s="71" t="s">
        <v>274</v>
      </c>
      <c r="B284" s="143" t="s">
        <v>422</v>
      </c>
      <c r="C284" s="143" t="s">
        <v>393</v>
      </c>
      <c r="D284" s="143" t="s">
        <v>496</v>
      </c>
      <c r="E284" s="143" t="s">
        <v>417</v>
      </c>
      <c r="F284" s="137">
        <v>3407500</v>
      </c>
      <c r="G284" s="137">
        <v>5700000</v>
      </c>
      <c r="H284" s="137">
        <v>5700000</v>
      </c>
      <c r="I284" s="10"/>
      <c r="J284" s="2"/>
    </row>
    <row r="285" spans="1:10" ht="16.5" customHeight="1">
      <c r="A285" s="87" t="s">
        <v>386</v>
      </c>
      <c r="B285" s="134" t="s">
        <v>422</v>
      </c>
      <c r="C285" s="134" t="s">
        <v>393</v>
      </c>
      <c r="D285" s="134" t="s">
        <v>407</v>
      </c>
      <c r="E285" s="134"/>
      <c r="F285" s="135">
        <f>F286</f>
        <v>25809207.42</v>
      </c>
      <c r="G285" s="135">
        <f>G286</f>
        <v>0</v>
      </c>
      <c r="H285" s="135">
        <f>H286</f>
        <v>0</v>
      </c>
      <c r="I285" s="10"/>
      <c r="J285" s="2"/>
    </row>
    <row r="286" spans="1:10" ht="18" customHeight="1">
      <c r="A286" s="71" t="s">
        <v>406</v>
      </c>
      <c r="B286" s="143" t="s">
        <v>422</v>
      </c>
      <c r="C286" s="143" t="s">
        <v>393</v>
      </c>
      <c r="D286" s="143" t="s">
        <v>407</v>
      </c>
      <c r="E286" s="143"/>
      <c r="F286" s="137">
        <f>F288+F287</f>
        <v>25809207.42</v>
      </c>
      <c r="G286" s="137">
        <f>G288+G287</f>
        <v>0</v>
      </c>
      <c r="H286" s="137">
        <f>H288+H287</f>
        <v>0</v>
      </c>
      <c r="I286" s="10"/>
      <c r="J286" s="2"/>
    </row>
    <row r="287" spans="1:10" ht="18" customHeight="1">
      <c r="A287" s="71" t="s">
        <v>265</v>
      </c>
      <c r="B287" s="143" t="s">
        <v>422</v>
      </c>
      <c r="C287" s="143" t="s">
        <v>393</v>
      </c>
      <c r="D287" s="143" t="s">
        <v>407</v>
      </c>
      <c r="E287" s="143" t="s">
        <v>330</v>
      </c>
      <c r="F287" s="137">
        <v>6990.78</v>
      </c>
      <c r="G287" s="137">
        <v>0</v>
      </c>
      <c r="H287" s="137">
        <v>0</v>
      </c>
      <c r="I287" s="10"/>
      <c r="J287" s="2"/>
    </row>
    <row r="288" spans="1:10" ht="30.75" customHeight="1">
      <c r="A288" s="71" t="s">
        <v>290</v>
      </c>
      <c r="B288" s="143" t="s">
        <v>422</v>
      </c>
      <c r="C288" s="143" t="s">
        <v>393</v>
      </c>
      <c r="D288" s="143" t="s">
        <v>407</v>
      </c>
      <c r="E288" s="143" t="s">
        <v>344</v>
      </c>
      <c r="F288" s="137">
        <v>25802216.64</v>
      </c>
      <c r="G288" s="137">
        <v>0</v>
      </c>
      <c r="H288" s="137">
        <v>0</v>
      </c>
      <c r="I288" s="10"/>
      <c r="J288" s="2"/>
    </row>
    <row r="289" spans="1:10" ht="16.5" customHeight="1">
      <c r="A289" s="87" t="s">
        <v>455</v>
      </c>
      <c r="B289" s="134" t="s">
        <v>422</v>
      </c>
      <c r="C289" s="134" t="s">
        <v>397</v>
      </c>
      <c r="D289" s="134"/>
      <c r="E289" s="134"/>
      <c r="F289" s="135">
        <f>F290+F294+F298+F301</f>
        <v>40253948.39</v>
      </c>
      <c r="G289" s="135">
        <f>G290+G294+G298+G301</f>
        <v>37241943.77</v>
      </c>
      <c r="H289" s="135">
        <f>H290+H294+H298+H301</f>
        <v>39100711.13</v>
      </c>
      <c r="I289" s="10"/>
      <c r="J289" s="2"/>
    </row>
    <row r="290" spans="1:10" ht="47.25" customHeight="1">
      <c r="A290" s="87" t="s">
        <v>497</v>
      </c>
      <c r="B290" s="134" t="s">
        <v>422</v>
      </c>
      <c r="C290" s="134" t="s">
        <v>397</v>
      </c>
      <c r="D290" s="164" t="s">
        <v>320</v>
      </c>
      <c r="E290" s="134"/>
      <c r="F290" s="135">
        <f>F291</f>
        <v>1882926.93</v>
      </c>
      <c r="G290" s="135">
        <f>G291</f>
        <v>2193113.77</v>
      </c>
      <c r="H290" s="135">
        <f>H291</f>
        <v>2233711.13</v>
      </c>
      <c r="I290" s="10"/>
      <c r="J290" s="2"/>
    </row>
    <row r="291" spans="1:10" ht="16.5" customHeight="1">
      <c r="A291" s="71" t="s">
        <v>326</v>
      </c>
      <c r="B291" s="143" t="s">
        <v>422</v>
      </c>
      <c r="C291" s="143" t="s">
        <v>397</v>
      </c>
      <c r="D291" s="163" t="s">
        <v>327</v>
      </c>
      <c r="E291" s="143"/>
      <c r="F291" s="137">
        <f>F292+F293</f>
        <v>1882926.93</v>
      </c>
      <c r="G291" s="137">
        <f>G292+G293</f>
        <v>2193113.77</v>
      </c>
      <c r="H291" s="137">
        <f>H292+H293</f>
        <v>2233711.13</v>
      </c>
      <c r="I291" s="10"/>
      <c r="J291" s="2"/>
    </row>
    <row r="292" spans="1:10" ht="30.75" customHeight="1">
      <c r="A292" s="71" t="s">
        <v>265</v>
      </c>
      <c r="B292" s="143" t="s">
        <v>422</v>
      </c>
      <c r="C292" s="143" t="s">
        <v>397</v>
      </c>
      <c r="D292" s="163" t="s">
        <v>327</v>
      </c>
      <c r="E292" s="143" t="s">
        <v>330</v>
      </c>
      <c r="F292" s="137">
        <v>1020208.93</v>
      </c>
      <c r="G292" s="137">
        <v>1318401.77</v>
      </c>
      <c r="H292" s="137">
        <v>1358999.13</v>
      </c>
      <c r="I292" s="10"/>
      <c r="J292" s="2"/>
    </row>
    <row r="293" spans="1:10" ht="16.5" customHeight="1">
      <c r="A293" s="71" t="s">
        <v>266</v>
      </c>
      <c r="B293" s="143" t="s">
        <v>422</v>
      </c>
      <c r="C293" s="143" t="s">
        <v>397</v>
      </c>
      <c r="D293" s="163" t="s">
        <v>327</v>
      </c>
      <c r="E293" s="143" t="s">
        <v>335</v>
      </c>
      <c r="F293" s="137">
        <v>862718</v>
      </c>
      <c r="G293" s="137">
        <v>874712</v>
      </c>
      <c r="H293" s="137">
        <v>874712</v>
      </c>
      <c r="I293" s="10"/>
      <c r="J293" s="2"/>
    </row>
    <row r="294" spans="1:10" ht="16.5" customHeight="1">
      <c r="A294" s="87" t="s">
        <v>331</v>
      </c>
      <c r="B294" s="134" t="s">
        <v>422</v>
      </c>
      <c r="C294" s="134" t="s">
        <v>397</v>
      </c>
      <c r="D294" s="134" t="s">
        <v>332</v>
      </c>
      <c r="E294" s="134"/>
      <c r="F294" s="135">
        <f>F295</f>
        <v>1982000.62</v>
      </c>
      <c r="G294" s="135">
        <f>G295</f>
        <v>1948830</v>
      </c>
      <c r="H294" s="135">
        <f>H295</f>
        <v>2067000</v>
      </c>
      <c r="I294" s="10"/>
      <c r="J294" s="2"/>
    </row>
    <row r="295" spans="1:10" ht="30.75" customHeight="1">
      <c r="A295" s="71" t="s">
        <v>333</v>
      </c>
      <c r="B295" s="143" t="s">
        <v>422</v>
      </c>
      <c r="C295" s="143" t="s">
        <v>397</v>
      </c>
      <c r="D295" s="143" t="s">
        <v>334</v>
      </c>
      <c r="E295" s="143"/>
      <c r="F295" s="137">
        <f>SUM(F296:F297)</f>
        <v>1982000.62</v>
      </c>
      <c r="G295" s="137">
        <f>SUM(G296:G297)</f>
        <v>1948830</v>
      </c>
      <c r="H295" s="137">
        <f>SUM(H296:H297)</f>
        <v>2067000</v>
      </c>
      <c r="I295" s="10"/>
      <c r="J295" s="2"/>
    </row>
    <row r="296" spans="1:10" ht="30.75" customHeight="1">
      <c r="A296" s="71" t="s">
        <v>265</v>
      </c>
      <c r="B296" s="143" t="s">
        <v>422</v>
      </c>
      <c r="C296" s="143" t="s">
        <v>397</v>
      </c>
      <c r="D296" s="143" t="s">
        <v>334</v>
      </c>
      <c r="E296" s="143" t="s">
        <v>330</v>
      </c>
      <c r="F296" s="137">
        <v>193999.92</v>
      </c>
      <c r="G296" s="137">
        <v>194000</v>
      </c>
      <c r="H296" s="137">
        <v>194000</v>
      </c>
      <c r="I296" s="10"/>
      <c r="J296" s="2"/>
    </row>
    <row r="297" spans="1:10" ht="16.5" customHeight="1">
      <c r="A297" s="71" t="s">
        <v>266</v>
      </c>
      <c r="B297" s="143" t="s">
        <v>422</v>
      </c>
      <c r="C297" s="143" t="s">
        <v>397</v>
      </c>
      <c r="D297" s="143" t="s">
        <v>334</v>
      </c>
      <c r="E297" s="143" t="s">
        <v>335</v>
      </c>
      <c r="F297" s="137">
        <v>1788000.7</v>
      </c>
      <c r="G297" s="137">
        <v>1754830</v>
      </c>
      <c r="H297" s="137">
        <v>1873000</v>
      </c>
      <c r="I297" s="10"/>
      <c r="J297" s="2"/>
    </row>
    <row r="298" spans="1:10" ht="47.25" customHeight="1">
      <c r="A298" s="87" t="s">
        <v>338</v>
      </c>
      <c r="B298" s="134" t="s">
        <v>422</v>
      </c>
      <c r="C298" s="134" t="s">
        <v>397</v>
      </c>
      <c r="D298" s="134" t="s">
        <v>339</v>
      </c>
      <c r="E298" s="134"/>
      <c r="F298" s="135">
        <f>F299</f>
        <v>23577121.84</v>
      </c>
      <c r="G298" s="135">
        <f>G299</f>
        <v>24100000</v>
      </c>
      <c r="H298" s="135">
        <f>H299</f>
        <v>25800000</v>
      </c>
      <c r="I298" s="10"/>
      <c r="J298" s="2"/>
    </row>
    <row r="299" spans="1:10" ht="30.75" customHeight="1">
      <c r="A299" s="71" t="s">
        <v>342</v>
      </c>
      <c r="B299" s="143" t="s">
        <v>422</v>
      </c>
      <c r="C299" s="143" t="s">
        <v>397</v>
      </c>
      <c r="D299" s="143" t="s">
        <v>343</v>
      </c>
      <c r="E299" s="143"/>
      <c r="F299" s="137">
        <f>F300</f>
        <v>23577121.84</v>
      </c>
      <c r="G299" s="137">
        <f>G300</f>
        <v>24100000</v>
      </c>
      <c r="H299" s="137">
        <f>H300</f>
        <v>25800000</v>
      </c>
      <c r="I299" s="10"/>
      <c r="J299" s="2"/>
    </row>
    <row r="300" spans="1:10" ht="16.5" customHeight="1">
      <c r="A300" s="71" t="s">
        <v>266</v>
      </c>
      <c r="B300" s="143" t="s">
        <v>422</v>
      </c>
      <c r="C300" s="143" t="s">
        <v>397</v>
      </c>
      <c r="D300" s="143" t="s">
        <v>343</v>
      </c>
      <c r="E300" s="143" t="s">
        <v>335</v>
      </c>
      <c r="F300" s="137">
        <f>22800000+1282360.26-505238.42</f>
        <v>23577121.84</v>
      </c>
      <c r="G300" s="137">
        <v>24100000</v>
      </c>
      <c r="H300" s="137">
        <v>25800000</v>
      </c>
      <c r="I300" s="10"/>
      <c r="J300" s="2"/>
    </row>
    <row r="301" spans="1:10" ht="16.5" customHeight="1">
      <c r="A301" s="87" t="s">
        <v>386</v>
      </c>
      <c r="B301" s="134" t="s">
        <v>422</v>
      </c>
      <c r="C301" s="134" t="s">
        <v>397</v>
      </c>
      <c r="D301" s="134" t="s">
        <v>387</v>
      </c>
      <c r="E301" s="134"/>
      <c r="F301" s="135">
        <f>F302</f>
        <v>12811899</v>
      </c>
      <c r="G301" s="135">
        <f>G302</f>
        <v>9000000</v>
      </c>
      <c r="H301" s="135">
        <f>H302</f>
        <v>9000000</v>
      </c>
      <c r="I301" s="10"/>
      <c r="J301" s="2"/>
    </row>
    <row r="302" spans="1:10" ht="16.5" customHeight="1">
      <c r="A302" s="71" t="s">
        <v>406</v>
      </c>
      <c r="B302" s="143" t="s">
        <v>422</v>
      </c>
      <c r="C302" s="143" t="s">
        <v>397</v>
      </c>
      <c r="D302" s="143" t="s">
        <v>407</v>
      </c>
      <c r="E302" s="143"/>
      <c r="F302" s="137">
        <f>F303+F304</f>
        <v>12811899</v>
      </c>
      <c r="G302" s="137">
        <f>G303+G304</f>
        <v>9000000</v>
      </c>
      <c r="H302" s="137">
        <f>H303+H304</f>
        <v>9000000</v>
      </c>
      <c r="I302" s="10"/>
      <c r="J302" s="2"/>
    </row>
    <row r="303" spans="1:10" ht="30.75" customHeight="1">
      <c r="A303" s="71" t="s">
        <v>265</v>
      </c>
      <c r="B303" s="143" t="s">
        <v>422</v>
      </c>
      <c r="C303" s="143" t="s">
        <v>397</v>
      </c>
      <c r="D303" s="143" t="s">
        <v>407</v>
      </c>
      <c r="E303" s="143" t="s">
        <v>330</v>
      </c>
      <c r="F303" s="137">
        <v>144722</v>
      </c>
      <c r="G303" s="137">
        <v>131823</v>
      </c>
      <c r="H303" s="137">
        <v>131823</v>
      </c>
      <c r="I303" s="10"/>
      <c r="J303" s="2"/>
    </row>
    <row r="304" spans="1:10" ht="16.5" customHeight="1">
      <c r="A304" s="71" t="s">
        <v>266</v>
      </c>
      <c r="B304" s="143" t="s">
        <v>422</v>
      </c>
      <c r="C304" s="143" t="s">
        <v>397</v>
      </c>
      <c r="D304" s="143" t="s">
        <v>407</v>
      </c>
      <c r="E304" s="143" t="s">
        <v>335</v>
      </c>
      <c r="F304" s="137">
        <v>12667177</v>
      </c>
      <c r="G304" s="137">
        <v>8868177</v>
      </c>
      <c r="H304" s="137">
        <v>8868177</v>
      </c>
      <c r="I304" s="10"/>
      <c r="J304" s="2"/>
    </row>
    <row r="305" spans="1:10" ht="16.5" customHeight="1">
      <c r="A305" s="87" t="s">
        <v>456</v>
      </c>
      <c r="B305" s="134" t="s">
        <v>422</v>
      </c>
      <c r="C305" s="134" t="s">
        <v>401</v>
      </c>
      <c r="D305" s="134"/>
      <c r="E305" s="134"/>
      <c r="F305" s="135">
        <f>F306+F313+F318</f>
        <v>10721572.54</v>
      </c>
      <c r="G305" s="135">
        <f>G306+G313+G318</f>
        <v>11257845.66</v>
      </c>
      <c r="H305" s="135">
        <f>H306+H313+H318</f>
        <v>12305339.92</v>
      </c>
      <c r="I305" s="10"/>
      <c r="J305" s="2"/>
    </row>
    <row r="306" spans="1:10" ht="16.5" customHeight="1">
      <c r="A306" s="87" t="s">
        <v>331</v>
      </c>
      <c r="B306" s="134" t="s">
        <v>422</v>
      </c>
      <c r="C306" s="134" t="s">
        <v>401</v>
      </c>
      <c r="D306" s="134" t="s">
        <v>332</v>
      </c>
      <c r="E306" s="134"/>
      <c r="F306" s="135">
        <f>F307+F309</f>
        <v>2336422.31</v>
      </c>
      <c r="G306" s="135">
        <f>G307+G309</f>
        <v>4220272.59</v>
      </c>
      <c r="H306" s="135">
        <f>H307+H309</f>
        <v>5176791.85</v>
      </c>
      <c r="I306" s="10"/>
      <c r="J306" s="2"/>
    </row>
    <row r="307" spans="1:10" ht="30.75" customHeight="1">
      <c r="A307" s="71" t="s">
        <v>333</v>
      </c>
      <c r="B307" s="143" t="s">
        <v>422</v>
      </c>
      <c r="C307" s="143" t="s">
        <v>401</v>
      </c>
      <c r="D307" s="143" t="s">
        <v>334</v>
      </c>
      <c r="E307" s="143"/>
      <c r="F307" s="137">
        <f>F308</f>
        <v>1932772.31</v>
      </c>
      <c r="G307" s="137">
        <f>G308</f>
        <v>2616000</v>
      </c>
      <c r="H307" s="137">
        <f>H308</f>
        <v>2700000</v>
      </c>
      <c r="I307" s="10"/>
      <c r="J307" s="2"/>
    </row>
    <row r="308" spans="1:10" ht="16.5" customHeight="1">
      <c r="A308" s="71" t="s">
        <v>266</v>
      </c>
      <c r="B308" s="143" t="s">
        <v>422</v>
      </c>
      <c r="C308" s="143" t="s">
        <v>401</v>
      </c>
      <c r="D308" s="143" t="s">
        <v>334</v>
      </c>
      <c r="E308" s="143" t="s">
        <v>335</v>
      </c>
      <c r="F308" s="137">
        <f>2831100-689327.69-9000-200000</f>
        <v>1932772.31</v>
      </c>
      <c r="G308" s="137">
        <v>2616000</v>
      </c>
      <c r="H308" s="137">
        <v>2700000</v>
      </c>
      <c r="I308" s="10"/>
      <c r="J308" s="2"/>
    </row>
    <row r="309" spans="1:10" ht="16.5" customHeight="1">
      <c r="A309" s="71" t="s">
        <v>336</v>
      </c>
      <c r="B309" s="143" t="s">
        <v>422</v>
      </c>
      <c r="C309" s="143" t="s">
        <v>401</v>
      </c>
      <c r="D309" s="143" t="s">
        <v>337</v>
      </c>
      <c r="E309" s="143"/>
      <c r="F309" s="137">
        <f>SUM(F310:F312)</f>
        <v>403650</v>
      </c>
      <c r="G309" s="137">
        <f>SUM(G310:G312)</f>
        <v>1604272.59</v>
      </c>
      <c r="H309" s="137">
        <f>SUM(H310:H312)</f>
        <v>2476791.85</v>
      </c>
      <c r="I309" s="10"/>
      <c r="J309" s="2"/>
    </row>
    <row r="310" spans="1:10" ht="75.75" customHeight="1">
      <c r="A310" s="71" t="s">
        <v>264</v>
      </c>
      <c r="B310" s="143" t="s">
        <v>422</v>
      </c>
      <c r="C310" s="143" t="s">
        <v>401</v>
      </c>
      <c r="D310" s="143" t="s">
        <v>337</v>
      </c>
      <c r="E310" s="143" t="s">
        <v>299</v>
      </c>
      <c r="F310" s="137">
        <v>0</v>
      </c>
      <c r="G310" s="137">
        <v>128843.64</v>
      </c>
      <c r="H310" s="137">
        <v>0</v>
      </c>
      <c r="I310" s="10"/>
      <c r="J310" s="2"/>
    </row>
    <row r="311" spans="1:10" ht="30.75" customHeight="1">
      <c r="A311" s="71" t="s">
        <v>265</v>
      </c>
      <c r="B311" s="143" t="s">
        <v>422</v>
      </c>
      <c r="C311" s="143" t="s">
        <v>401</v>
      </c>
      <c r="D311" s="143" t="s">
        <v>337</v>
      </c>
      <c r="E311" s="143" t="s">
        <v>330</v>
      </c>
      <c r="F311" s="137">
        <v>403650</v>
      </c>
      <c r="G311" s="137">
        <v>1235428.95</v>
      </c>
      <c r="H311" s="137">
        <v>2476791.85</v>
      </c>
      <c r="I311" s="10"/>
      <c r="J311" s="2"/>
    </row>
    <row r="312" spans="1:10" ht="16.5" customHeight="1">
      <c r="A312" s="71" t="s">
        <v>266</v>
      </c>
      <c r="B312" s="143" t="s">
        <v>422</v>
      </c>
      <c r="C312" s="143" t="s">
        <v>401</v>
      </c>
      <c r="D312" s="143" t="s">
        <v>337</v>
      </c>
      <c r="E312" s="143" t="s">
        <v>335</v>
      </c>
      <c r="F312" s="137">
        <v>0</v>
      </c>
      <c r="G312" s="137">
        <v>240000</v>
      </c>
      <c r="H312" s="137">
        <v>0</v>
      </c>
      <c r="I312" s="10"/>
      <c r="J312" s="2"/>
    </row>
    <row r="313" spans="1:10" ht="31.5" customHeight="1">
      <c r="A313" s="87" t="s">
        <v>498</v>
      </c>
      <c r="B313" s="134" t="s">
        <v>422</v>
      </c>
      <c r="C313" s="134" t="s">
        <v>401</v>
      </c>
      <c r="D313" s="134" t="s">
        <v>361</v>
      </c>
      <c r="E313" s="134"/>
      <c r="F313" s="135">
        <f>F314</f>
        <v>1207677.04</v>
      </c>
      <c r="G313" s="135">
        <f>G314</f>
        <v>2995900</v>
      </c>
      <c r="H313" s="135">
        <f>H314</f>
        <v>2995900</v>
      </c>
      <c r="I313" s="10"/>
      <c r="J313" s="2"/>
    </row>
    <row r="314" spans="1:10" ht="30" customHeight="1">
      <c r="A314" s="170" t="s">
        <v>362</v>
      </c>
      <c r="B314" s="143" t="s">
        <v>422</v>
      </c>
      <c r="C314" s="143" t="s">
        <v>401</v>
      </c>
      <c r="D314" s="143" t="s">
        <v>363</v>
      </c>
      <c r="E314" s="143"/>
      <c r="F314" s="137">
        <f>SUM(F315:F317)</f>
        <v>1207677.04</v>
      </c>
      <c r="G314" s="137">
        <f>SUM(G315:G317)</f>
        <v>2995900</v>
      </c>
      <c r="H314" s="137">
        <f>SUM(H315:H317)</f>
        <v>2995900</v>
      </c>
      <c r="I314" s="10"/>
      <c r="J314" s="2"/>
    </row>
    <row r="315" spans="1:10" ht="75" customHeight="1">
      <c r="A315" s="170" t="s">
        <v>264</v>
      </c>
      <c r="B315" s="143" t="s">
        <v>422</v>
      </c>
      <c r="C315" s="143" t="s">
        <v>401</v>
      </c>
      <c r="D315" s="143" t="s">
        <v>363</v>
      </c>
      <c r="E315" s="143" t="s">
        <v>299</v>
      </c>
      <c r="F315" s="137">
        <v>0</v>
      </c>
      <c r="G315" s="137">
        <v>127200</v>
      </c>
      <c r="H315" s="137">
        <v>127200</v>
      </c>
      <c r="I315" s="10"/>
      <c r="J315" s="2"/>
    </row>
    <row r="316" spans="1:10" ht="30.75" customHeight="1">
      <c r="A316" s="71" t="s">
        <v>265</v>
      </c>
      <c r="B316" s="143" t="s">
        <v>422</v>
      </c>
      <c r="C316" s="143" t="s">
        <v>401</v>
      </c>
      <c r="D316" s="143" t="s">
        <v>363</v>
      </c>
      <c r="E316" s="143" t="s">
        <v>330</v>
      </c>
      <c r="F316" s="137">
        <v>745111.04</v>
      </c>
      <c r="G316" s="137">
        <v>1004200</v>
      </c>
      <c r="H316" s="137">
        <v>1004200</v>
      </c>
      <c r="I316" s="10"/>
      <c r="J316" s="2"/>
    </row>
    <row r="317" spans="1:10" ht="16.5" customHeight="1">
      <c r="A317" s="71" t="s">
        <v>266</v>
      </c>
      <c r="B317" s="143" t="s">
        <v>422</v>
      </c>
      <c r="C317" s="143" t="s">
        <v>401</v>
      </c>
      <c r="D317" s="143" t="s">
        <v>363</v>
      </c>
      <c r="E317" s="143" t="s">
        <v>335</v>
      </c>
      <c r="F317" s="137">
        <v>462566</v>
      </c>
      <c r="G317" s="137">
        <v>1864500</v>
      </c>
      <c r="H317" s="137">
        <v>1864500</v>
      </c>
      <c r="I317" s="10"/>
      <c r="J317" s="2"/>
    </row>
    <row r="318" spans="1:10" ht="16.5" customHeight="1">
      <c r="A318" s="87" t="s">
        <v>386</v>
      </c>
      <c r="B318" s="134" t="s">
        <v>422</v>
      </c>
      <c r="C318" s="134" t="s">
        <v>401</v>
      </c>
      <c r="D318" s="134" t="s">
        <v>387</v>
      </c>
      <c r="E318" s="143"/>
      <c r="F318" s="135">
        <f>F319+F321</f>
        <v>7177473.19</v>
      </c>
      <c r="G318" s="135">
        <f>G319+G321</f>
        <v>4041673.07</v>
      </c>
      <c r="H318" s="135">
        <f>H319+H321</f>
        <v>4132648.07</v>
      </c>
      <c r="I318" s="10"/>
      <c r="J318" s="2"/>
    </row>
    <row r="319" spans="1:10" ht="30.75" customHeight="1">
      <c r="A319" s="71" t="s">
        <v>388</v>
      </c>
      <c r="B319" s="143" t="s">
        <v>422</v>
      </c>
      <c r="C319" s="143" t="s">
        <v>401</v>
      </c>
      <c r="D319" s="143" t="s">
        <v>389</v>
      </c>
      <c r="E319" s="143"/>
      <c r="F319" s="137">
        <f>F320</f>
        <v>3271220.81</v>
      </c>
      <c r="G319" s="137">
        <f>G320</f>
        <v>2798348.07</v>
      </c>
      <c r="H319" s="137">
        <f>H320</f>
        <v>2798348.07</v>
      </c>
      <c r="I319" s="10"/>
      <c r="J319" s="2"/>
    </row>
    <row r="320" spans="1:10" ht="75.75" customHeight="1">
      <c r="A320" s="71" t="s">
        <v>264</v>
      </c>
      <c r="B320" s="143" t="s">
        <v>422</v>
      </c>
      <c r="C320" s="143" t="s">
        <v>401</v>
      </c>
      <c r="D320" s="143" t="s">
        <v>389</v>
      </c>
      <c r="E320" s="143" t="s">
        <v>299</v>
      </c>
      <c r="F320" s="137">
        <v>3271220.81</v>
      </c>
      <c r="G320" s="137">
        <v>2798348.07</v>
      </c>
      <c r="H320" s="137">
        <v>2798348.07</v>
      </c>
      <c r="I320" s="10"/>
      <c r="J320" s="2"/>
    </row>
    <row r="321" spans="1:10" ht="16.5" customHeight="1">
      <c r="A321" s="71" t="s">
        <v>406</v>
      </c>
      <c r="B321" s="143" t="s">
        <v>422</v>
      </c>
      <c r="C321" s="143" t="s">
        <v>401</v>
      </c>
      <c r="D321" s="143" t="s">
        <v>407</v>
      </c>
      <c r="E321" s="143"/>
      <c r="F321" s="137">
        <f>SUM(F322:F323)</f>
        <v>3906252.38</v>
      </c>
      <c r="G321" s="137">
        <f>SUM(G322:G323)</f>
        <v>1243325</v>
      </c>
      <c r="H321" s="137">
        <f>SUM(H322:H323)</f>
        <v>1334300</v>
      </c>
      <c r="I321" s="10"/>
      <c r="J321" s="2"/>
    </row>
    <row r="322" spans="1:10" ht="30.75" customHeight="1">
      <c r="A322" s="71" t="s">
        <v>265</v>
      </c>
      <c r="B322" s="143" t="s">
        <v>422</v>
      </c>
      <c r="C322" s="143" t="s">
        <v>401</v>
      </c>
      <c r="D322" s="143" t="s">
        <v>407</v>
      </c>
      <c r="E322" s="143" t="s">
        <v>330</v>
      </c>
      <c r="F322" s="137">
        <v>11847.38</v>
      </c>
      <c r="G322" s="137"/>
      <c r="H322" s="137"/>
      <c r="I322" s="10"/>
      <c r="J322" s="2"/>
    </row>
    <row r="323" spans="1:10" ht="16.5" customHeight="1">
      <c r="A323" s="71" t="s">
        <v>266</v>
      </c>
      <c r="B323" s="143" t="s">
        <v>422</v>
      </c>
      <c r="C323" s="143" t="s">
        <v>401</v>
      </c>
      <c r="D323" s="143" t="s">
        <v>407</v>
      </c>
      <c r="E323" s="143" t="s">
        <v>335</v>
      </c>
      <c r="F323" s="137">
        <v>3894405</v>
      </c>
      <c r="G323" s="137">
        <v>1243325</v>
      </c>
      <c r="H323" s="137">
        <v>1334300</v>
      </c>
      <c r="I323" s="10"/>
      <c r="J323" s="2"/>
    </row>
    <row r="324" spans="1:10" ht="16.5" customHeight="1">
      <c r="A324" s="87" t="s">
        <v>457</v>
      </c>
      <c r="B324" s="134" t="s">
        <v>412</v>
      </c>
      <c r="C324" s="134"/>
      <c r="D324" s="134"/>
      <c r="E324" s="134"/>
      <c r="F324" s="135">
        <f>F325+F340</f>
        <v>165151156.4</v>
      </c>
      <c r="G324" s="135">
        <f>G325+G340</f>
        <v>132422275.45</v>
      </c>
      <c r="H324" s="135">
        <f>H325+H340</f>
        <v>133338261.46</v>
      </c>
      <c r="I324" s="10"/>
      <c r="J324" s="2"/>
    </row>
    <row r="325" spans="1:10" ht="16.5" customHeight="1">
      <c r="A325" s="87" t="s">
        <v>458</v>
      </c>
      <c r="B325" s="134" t="s">
        <v>412</v>
      </c>
      <c r="C325" s="134" t="s">
        <v>383</v>
      </c>
      <c r="D325" s="134"/>
      <c r="E325" s="134"/>
      <c r="F325" s="135">
        <f>F326+F335</f>
        <v>157223748.98</v>
      </c>
      <c r="G325" s="135">
        <f>G326+G335</f>
        <v>124422275.45</v>
      </c>
      <c r="H325" s="135">
        <f>H326+H335</f>
        <v>125338261.46</v>
      </c>
      <c r="I325" s="10"/>
      <c r="J325" s="2"/>
    </row>
    <row r="326" spans="1:10" ht="31.5" customHeight="1">
      <c r="A326" s="87" t="s">
        <v>353</v>
      </c>
      <c r="B326" s="134" t="s">
        <v>412</v>
      </c>
      <c r="C326" s="134" t="s">
        <v>383</v>
      </c>
      <c r="D326" s="134" t="s">
        <v>354</v>
      </c>
      <c r="E326" s="134"/>
      <c r="F326" s="135">
        <f>F327+F332</f>
        <v>120328175.25</v>
      </c>
      <c r="G326" s="135">
        <f>G327+G332</f>
        <v>124422275.45</v>
      </c>
      <c r="H326" s="135">
        <f>H327+H332</f>
        <v>125338261.46</v>
      </c>
      <c r="I326" s="10"/>
      <c r="J326" s="2"/>
    </row>
    <row r="327" spans="1:10" ht="16.5" customHeight="1">
      <c r="A327" s="71" t="s">
        <v>262</v>
      </c>
      <c r="B327" s="143" t="s">
        <v>412</v>
      </c>
      <c r="C327" s="143" t="s">
        <v>383</v>
      </c>
      <c r="D327" s="143" t="s">
        <v>355</v>
      </c>
      <c r="E327" s="143"/>
      <c r="F327" s="137">
        <f>SUM(F328:F331)</f>
        <v>113762292.25</v>
      </c>
      <c r="G327" s="137">
        <f>SUM(G328:G331)</f>
        <v>116422275.45</v>
      </c>
      <c r="H327" s="137">
        <f>SUM(H328:H331)</f>
        <v>117338261.46</v>
      </c>
      <c r="I327" s="10"/>
      <c r="J327" s="2"/>
    </row>
    <row r="328" spans="1:10" ht="75.75" customHeight="1">
      <c r="A328" s="71" t="s">
        <v>264</v>
      </c>
      <c r="B328" s="143" t="s">
        <v>412</v>
      </c>
      <c r="C328" s="143" t="s">
        <v>383</v>
      </c>
      <c r="D328" s="143" t="s">
        <v>355</v>
      </c>
      <c r="E328" s="143" t="s">
        <v>299</v>
      </c>
      <c r="F328" s="137">
        <v>87101612.24</v>
      </c>
      <c r="G328" s="137">
        <v>89253765.46</v>
      </c>
      <c r="H328" s="137">
        <v>89253765.46</v>
      </c>
      <c r="I328" s="10"/>
      <c r="J328" s="2"/>
    </row>
    <row r="329" spans="1:10" ht="30.75" customHeight="1">
      <c r="A329" s="71" t="s">
        <v>265</v>
      </c>
      <c r="B329" s="143" t="s">
        <v>412</v>
      </c>
      <c r="C329" s="143" t="s">
        <v>383</v>
      </c>
      <c r="D329" s="143" t="s">
        <v>355</v>
      </c>
      <c r="E329" s="143" t="s">
        <v>330</v>
      </c>
      <c r="F329" s="137">
        <v>23065043.22</v>
      </c>
      <c r="G329" s="137">
        <v>23672873.2</v>
      </c>
      <c r="H329" s="137">
        <v>24588859.21</v>
      </c>
      <c r="I329" s="10"/>
      <c r="J329" s="2"/>
    </row>
    <row r="330" spans="1:10" ht="16.5" customHeight="1">
      <c r="A330" s="71" t="s">
        <v>266</v>
      </c>
      <c r="B330" s="143" t="s">
        <v>412</v>
      </c>
      <c r="C330" s="143" t="s">
        <v>383</v>
      </c>
      <c r="D330" s="143" t="s">
        <v>355</v>
      </c>
      <c r="E330" s="143" t="s">
        <v>335</v>
      </c>
      <c r="F330" s="137">
        <v>100000</v>
      </c>
      <c r="G330" s="137">
        <v>0</v>
      </c>
      <c r="H330" s="137">
        <v>0</v>
      </c>
      <c r="I330" s="10"/>
      <c r="J330" s="2"/>
    </row>
    <row r="331" spans="1:10" ht="16.5" customHeight="1">
      <c r="A331" s="71" t="s">
        <v>267</v>
      </c>
      <c r="B331" s="143" t="s">
        <v>412</v>
      </c>
      <c r="C331" s="143" t="s">
        <v>383</v>
      </c>
      <c r="D331" s="143" t="s">
        <v>355</v>
      </c>
      <c r="E331" s="143" t="s">
        <v>306</v>
      </c>
      <c r="F331" s="137">
        <v>3495636.79</v>
      </c>
      <c r="G331" s="137">
        <v>3495636.79</v>
      </c>
      <c r="H331" s="137">
        <v>3495636.79</v>
      </c>
      <c r="I331" s="10"/>
      <c r="J331" s="2"/>
    </row>
    <row r="332" spans="1:10" ht="16.5" customHeight="1">
      <c r="A332" s="71" t="s">
        <v>358</v>
      </c>
      <c r="B332" s="143" t="s">
        <v>412</v>
      </c>
      <c r="C332" s="143" t="s">
        <v>383</v>
      </c>
      <c r="D332" s="143" t="s">
        <v>359</v>
      </c>
      <c r="E332" s="143"/>
      <c r="F332" s="137">
        <f>SUM(F333:F334)</f>
        <v>6565883</v>
      </c>
      <c r="G332" s="137">
        <f>SUM(G333:G334)</f>
        <v>8000000</v>
      </c>
      <c r="H332" s="137">
        <f>SUM(H333:H334)</f>
        <v>8000000</v>
      </c>
      <c r="I332" s="10"/>
      <c r="J332" s="2"/>
    </row>
    <row r="333" spans="1:10" ht="75.75" customHeight="1">
      <c r="A333" s="71" t="s">
        <v>264</v>
      </c>
      <c r="B333" s="143" t="s">
        <v>412</v>
      </c>
      <c r="C333" s="143" t="s">
        <v>383</v>
      </c>
      <c r="D333" s="143" t="s">
        <v>359</v>
      </c>
      <c r="E333" s="143" t="s">
        <v>299</v>
      </c>
      <c r="F333" s="137">
        <v>4797297</v>
      </c>
      <c r="G333" s="137">
        <v>7000000</v>
      </c>
      <c r="H333" s="137">
        <v>7000000</v>
      </c>
      <c r="I333" s="10"/>
      <c r="J333" s="2"/>
    </row>
    <row r="334" spans="1:10" ht="30.75" customHeight="1">
      <c r="A334" s="71" t="s">
        <v>265</v>
      </c>
      <c r="B334" s="143" t="s">
        <v>412</v>
      </c>
      <c r="C334" s="143" t="s">
        <v>383</v>
      </c>
      <c r="D334" s="143" t="s">
        <v>359</v>
      </c>
      <c r="E334" s="143" t="s">
        <v>330</v>
      </c>
      <c r="F334" s="137">
        <v>1768586</v>
      </c>
      <c r="G334" s="137">
        <v>1000000</v>
      </c>
      <c r="H334" s="137">
        <v>1000000</v>
      </c>
      <c r="I334" s="10"/>
      <c r="J334" s="2"/>
    </row>
    <row r="335" spans="1:10" ht="16.5" customHeight="1">
      <c r="A335" s="87" t="s">
        <v>386</v>
      </c>
      <c r="B335" s="134" t="s">
        <v>412</v>
      </c>
      <c r="C335" s="134" t="s">
        <v>383</v>
      </c>
      <c r="D335" s="134" t="s">
        <v>387</v>
      </c>
      <c r="E335" s="134"/>
      <c r="F335" s="135">
        <f>F336</f>
        <v>36895573.73</v>
      </c>
      <c r="G335" s="135">
        <f>G336</f>
        <v>0</v>
      </c>
      <c r="H335" s="135">
        <f>H336</f>
        <v>0</v>
      </c>
      <c r="I335" s="10"/>
      <c r="J335" s="2"/>
    </row>
    <row r="336" spans="1:10" ht="16.5" customHeight="1">
      <c r="A336" s="71" t="s">
        <v>406</v>
      </c>
      <c r="B336" s="143" t="s">
        <v>412</v>
      </c>
      <c r="C336" s="143" t="s">
        <v>383</v>
      </c>
      <c r="D336" s="143" t="s">
        <v>407</v>
      </c>
      <c r="E336" s="143"/>
      <c r="F336" s="137">
        <f>SUM(F337:F339)</f>
        <v>36895573.73</v>
      </c>
      <c r="G336" s="137">
        <f>SUM(G337:G339)</f>
        <v>0</v>
      </c>
      <c r="H336" s="137">
        <f>SUM(H337:H339)</f>
        <v>0</v>
      </c>
      <c r="I336" s="10"/>
      <c r="J336" s="2"/>
    </row>
    <row r="337" spans="1:10" ht="30.75" customHeight="1">
      <c r="A337" s="71" t="s">
        <v>265</v>
      </c>
      <c r="B337" s="143" t="s">
        <v>412</v>
      </c>
      <c r="C337" s="143" t="s">
        <v>383</v>
      </c>
      <c r="D337" s="143" t="s">
        <v>407</v>
      </c>
      <c r="E337" s="143" t="s">
        <v>330</v>
      </c>
      <c r="F337" s="137">
        <v>2052171.98</v>
      </c>
      <c r="G337" s="137">
        <v>0</v>
      </c>
      <c r="H337" s="137">
        <v>0</v>
      </c>
      <c r="I337" s="10"/>
      <c r="J337" s="2"/>
    </row>
    <row r="338" spans="1:10" ht="16.5" customHeight="1">
      <c r="A338" s="71" t="s">
        <v>266</v>
      </c>
      <c r="B338" s="143" t="s">
        <v>412</v>
      </c>
      <c r="C338" s="143" t="s">
        <v>383</v>
      </c>
      <c r="D338" s="143" t="s">
        <v>407</v>
      </c>
      <c r="E338" s="143" t="s">
        <v>335</v>
      </c>
      <c r="F338" s="137">
        <v>1284117</v>
      </c>
      <c r="G338" s="137">
        <v>0</v>
      </c>
      <c r="H338" s="137">
        <v>0</v>
      </c>
      <c r="I338" s="10"/>
      <c r="J338" s="2"/>
    </row>
    <row r="339" spans="1:10" ht="30.75" customHeight="1">
      <c r="A339" s="71" t="s">
        <v>290</v>
      </c>
      <c r="B339" s="143" t="s">
        <v>412</v>
      </c>
      <c r="C339" s="143" t="s">
        <v>383</v>
      </c>
      <c r="D339" s="143" t="s">
        <v>407</v>
      </c>
      <c r="E339" s="143" t="s">
        <v>344</v>
      </c>
      <c r="F339" s="137">
        <v>33559284.75</v>
      </c>
      <c r="G339" s="137">
        <v>0</v>
      </c>
      <c r="H339" s="137">
        <v>0</v>
      </c>
      <c r="I339" s="10"/>
      <c r="J339" s="2"/>
    </row>
    <row r="340" spans="1:10" ht="16.5" customHeight="1">
      <c r="A340" s="87" t="s">
        <v>499</v>
      </c>
      <c r="B340" s="134" t="s">
        <v>412</v>
      </c>
      <c r="C340" s="134" t="s">
        <v>385</v>
      </c>
      <c r="D340" s="134"/>
      <c r="E340" s="134"/>
      <c r="F340" s="135">
        <f>F341</f>
        <v>7927407.42</v>
      </c>
      <c r="G340" s="135">
        <f>G341</f>
        <v>8000000</v>
      </c>
      <c r="H340" s="135">
        <f>H341</f>
        <v>8000000</v>
      </c>
      <c r="I340" s="10"/>
      <c r="J340" s="2"/>
    </row>
    <row r="341" spans="1:10" ht="31.5" customHeight="1">
      <c r="A341" s="87" t="s">
        <v>353</v>
      </c>
      <c r="B341" s="134" t="s">
        <v>412</v>
      </c>
      <c r="C341" s="134" t="s">
        <v>385</v>
      </c>
      <c r="D341" s="134" t="s">
        <v>354</v>
      </c>
      <c r="E341" s="134"/>
      <c r="F341" s="135">
        <f>F342</f>
        <v>7927407.42</v>
      </c>
      <c r="G341" s="135">
        <f>G342</f>
        <v>8000000</v>
      </c>
      <c r="H341" s="135">
        <f>H342</f>
        <v>8000000</v>
      </c>
      <c r="I341" s="10"/>
      <c r="J341" s="2"/>
    </row>
    <row r="342" spans="1:10" ht="16.5" customHeight="1">
      <c r="A342" s="71" t="s">
        <v>356</v>
      </c>
      <c r="B342" s="143" t="s">
        <v>412</v>
      </c>
      <c r="C342" s="143" t="s">
        <v>385</v>
      </c>
      <c r="D342" s="143" t="s">
        <v>357</v>
      </c>
      <c r="E342" s="143"/>
      <c r="F342" s="137">
        <f>SUM(F343:F344)</f>
        <v>7927407.42</v>
      </c>
      <c r="G342" s="137">
        <f>SUM(G343:G344)</f>
        <v>8000000</v>
      </c>
      <c r="H342" s="137">
        <f>SUM(H343:H344)</f>
        <v>8000000</v>
      </c>
      <c r="I342" s="10"/>
      <c r="J342" s="2"/>
    </row>
    <row r="343" spans="1:10" ht="75.75" customHeight="1">
      <c r="A343" s="71" t="s">
        <v>264</v>
      </c>
      <c r="B343" s="143" t="s">
        <v>412</v>
      </c>
      <c r="C343" s="143" t="s">
        <v>385</v>
      </c>
      <c r="D343" s="143" t="s">
        <v>357</v>
      </c>
      <c r="E343" s="143" t="s">
        <v>299</v>
      </c>
      <c r="F343" s="137">
        <v>3297407.42</v>
      </c>
      <c r="G343" s="137">
        <v>6600000</v>
      </c>
      <c r="H343" s="137">
        <v>6600000</v>
      </c>
      <c r="I343" s="10"/>
      <c r="J343" s="2"/>
    </row>
    <row r="344" spans="1:10" ht="30.75" customHeight="1">
      <c r="A344" s="71" t="s">
        <v>265</v>
      </c>
      <c r="B344" s="143" t="s">
        <v>412</v>
      </c>
      <c r="C344" s="143" t="s">
        <v>385</v>
      </c>
      <c r="D344" s="143" t="s">
        <v>357</v>
      </c>
      <c r="E344" s="143" t="s">
        <v>330</v>
      </c>
      <c r="F344" s="137">
        <v>4630000</v>
      </c>
      <c r="G344" s="137">
        <v>1400000</v>
      </c>
      <c r="H344" s="137">
        <v>1400000</v>
      </c>
      <c r="I344" s="10"/>
      <c r="J344" s="2"/>
    </row>
    <row r="345" spans="1:10" ht="63" customHeight="1">
      <c r="A345" s="12" t="s">
        <v>461</v>
      </c>
      <c r="B345" s="176" t="s">
        <v>462</v>
      </c>
      <c r="C345" s="176"/>
      <c r="D345" s="176"/>
      <c r="E345" s="176"/>
      <c r="F345" s="13">
        <f>F346</f>
        <v>573425090.56</v>
      </c>
      <c r="G345" s="13">
        <f>G346</f>
        <v>0</v>
      </c>
      <c r="H345" s="13">
        <f>H346</f>
        <v>0</v>
      </c>
      <c r="I345" s="10"/>
      <c r="J345" s="2"/>
    </row>
    <row r="346" spans="1:10" ht="31.5" customHeight="1">
      <c r="A346" s="12" t="s">
        <v>463</v>
      </c>
      <c r="B346" s="176" t="s">
        <v>462</v>
      </c>
      <c r="C346" s="176" t="s">
        <v>393</v>
      </c>
      <c r="D346" s="176"/>
      <c r="E346" s="176"/>
      <c r="F346" s="13">
        <f>F347</f>
        <v>573425090.56</v>
      </c>
      <c r="G346" s="13">
        <f>G347</f>
        <v>0</v>
      </c>
      <c r="H346" s="13">
        <f>H347</f>
        <v>0</v>
      </c>
      <c r="I346" s="10"/>
      <c r="J346" s="2"/>
    </row>
    <row r="347" spans="1:10" ht="16.5" customHeight="1">
      <c r="A347" s="87" t="s">
        <v>386</v>
      </c>
      <c r="B347" s="176" t="s">
        <v>462</v>
      </c>
      <c r="C347" s="176" t="s">
        <v>393</v>
      </c>
      <c r="D347" s="176" t="s">
        <v>387</v>
      </c>
      <c r="E347" s="176"/>
      <c r="F347" s="13">
        <f>F348</f>
        <v>573425090.56</v>
      </c>
      <c r="G347" s="13">
        <f>G348</f>
        <v>0</v>
      </c>
      <c r="H347" s="13">
        <f>H348</f>
        <v>0</v>
      </c>
      <c r="I347" s="10"/>
      <c r="J347" s="2"/>
    </row>
    <row r="348" spans="1:10" ht="16.5" customHeight="1">
      <c r="A348" s="71" t="s">
        <v>464</v>
      </c>
      <c r="B348" s="176" t="s">
        <v>462</v>
      </c>
      <c r="C348" s="176" t="s">
        <v>393</v>
      </c>
      <c r="D348" s="176" t="s">
        <v>465</v>
      </c>
      <c r="E348" s="176"/>
      <c r="F348" s="13">
        <f>F349</f>
        <v>573425090.56</v>
      </c>
      <c r="G348" s="13">
        <f>G349</f>
        <v>0</v>
      </c>
      <c r="H348" s="13">
        <f>H349</f>
        <v>0</v>
      </c>
      <c r="I348" s="10"/>
      <c r="J348" s="2"/>
    </row>
    <row r="349" spans="1:10" ht="15" customHeight="1">
      <c r="A349" s="177" t="s">
        <v>464</v>
      </c>
      <c r="B349" s="23" t="s">
        <v>462</v>
      </c>
      <c r="C349" s="23" t="s">
        <v>393</v>
      </c>
      <c r="D349" s="23" t="s">
        <v>465</v>
      </c>
      <c r="E349" s="23" t="s">
        <v>468</v>
      </c>
      <c r="F349" s="16">
        <v>573425090.56</v>
      </c>
      <c r="G349" s="16">
        <v>0</v>
      </c>
      <c r="H349" s="16">
        <v>0</v>
      </c>
      <c r="I349" s="10"/>
      <c r="J349" s="2"/>
    </row>
  </sheetData>
  <mergeCells count="1">
    <mergeCell ref="A11:H11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54"/>
  <headerFooter alignWithMargins="0"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0"/>
  <sheetViews>
    <sheetView showGridLines="0" workbookViewId="0" topLeftCell="A1">
      <selection activeCell="A1" sqref="A1"/>
    </sheetView>
  </sheetViews>
  <sheetFormatPr defaultColWidth="10.28125" defaultRowHeight="15.75" customHeight="1"/>
  <cols>
    <col min="1" max="1" width="60.8515625" style="178" customWidth="1"/>
    <col min="2" max="2" width="12.140625" style="178" customWidth="1"/>
    <col min="3" max="3" width="6.140625" style="178" customWidth="1"/>
    <col min="4" max="4" width="6.00390625" style="178" customWidth="1"/>
    <col min="5" max="5" width="17.421875" style="178" customWidth="1"/>
    <col min="6" max="6" width="8.00390625" style="178" customWidth="1"/>
    <col min="7" max="7" width="19.28125" style="178" customWidth="1"/>
    <col min="8" max="9" width="21.00390625" style="178" customWidth="1"/>
    <col min="10" max="13" width="9.140625" style="178" customWidth="1"/>
    <col min="14" max="14" width="18.7109375" style="178" customWidth="1"/>
    <col min="15" max="256" width="9.140625" style="178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151"/>
      <c r="I1" s="151"/>
      <c r="J1" s="2"/>
      <c r="K1" s="2"/>
      <c r="L1" s="2"/>
      <c r="M1" s="2"/>
      <c r="N1" s="2"/>
    </row>
    <row r="2" spans="1:14" ht="18.75" customHeight="1">
      <c r="A2" s="2"/>
      <c r="B2" s="2"/>
      <c r="C2" s="2"/>
      <c r="D2" s="2"/>
      <c r="E2" s="152"/>
      <c r="F2" s="2"/>
      <c r="G2" s="2"/>
      <c r="H2" s="153" t="s">
        <v>500</v>
      </c>
      <c r="I2" s="151"/>
      <c r="J2" s="2"/>
      <c r="K2" s="2"/>
      <c r="L2" s="2"/>
      <c r="M2" s="2"/>
      <c r="N2" s="2"/>
    </row>
    <row r="3" spans="1:14" ht="18.75" customHeight="1">
      <c r="A3" s="2"/>
      <c r="B3" s="2"/>
      <c r="C3" s="2"/>
      <c r="D3" s="2"/>
      <c r="E3" s="152"/>
      <c r="F3" s="2"/>
      <c r="G3" s="2"/>
      <c r="H3" s="153" t="s">
        <v>377</v>
      </c>
      <c r="I3" s="151"/>
      <c r="J3" s="2"/>
      <c r="K3" s="2"/>
      <c r="L3" s="2"/>
      <c r="M3" s="2"/>
      <c r="N3" s="2"/>
    </row>
    <row r="4" spans="1:14" ht="18.75" customHeight="1">
      <c r="A4" s="2"/>
      <c r="B4" s="2"/>
      <c r="C4" s="2"/>
      <c r="D4" s="2"/>
      <c r="E4" s="152"/>
      <c r="F4" s="2"/>
      <c r="G4" s="2"/>
      <c r="H4" s="153" t="s">
        <v>2</v>
      </c>
      <c r="I4" s="151"/>
      <c r="J4" s="2"/>
      <c r="K4" s="2"/>
      <c r="L4" s="2"/>
      <c r="M4" s="2"/>
      <c r="N4" s="2"/>
    </row>
    <row r="5" spans="1:14" ht="18.75" customHeight="1">
      <c r="A5" s="2"/>
      <c r="B5" s="2"/>
      <c r="C5" s="2"/>
      <c r="D5" s="2"/>
      <c r="E5" s="152"/>
      <c r="F5" s="2"/>
      <c r="G5" s="2"/>
      <c r="H5" s="153" t="s">
        <v>3</v>
      </c>
      <c r="I5" s="151"/>
      <c r="J5" s="2"/>
      <c r="K5" s="2"/>
      <c r="L5" s="2"/>
      <c r="M5" s="2"/>
      <c r="N5" s="2"/>
    </row>
    <row r="6" spans="1:14" ht="18.75" customHeight="1">
      <c r="A6" s="2"/>
      <c r="B6" s="2"/>
      <c r="C6" s="2"/>
      <c r="D6" s="2"/>
      <c r="E6" s="152"/>
      <c r="F6" s="2"/>
      <c r="G6" s="2"/>
      <c r="H6" s="153" t="s">
        <v>4</v>
      </c>
      <c r="I6" s="151"/>
      <c r="J6" s="2"/>
      <c r="K6" s="2"/>
      <c r="L6" s="2"/>
      <c r="M6" s="2"/>
      <c r="N6" s="2"/>
    </row>
    <row r="7" spans="1:14" ht="18.75" customHeight="1">
      <c r="A7" s="2"/>
      <c r="B7" s="2"/>
      <c r="C7" s="2"/>
      <c r="D7" s="2"/>
      <c r="E7" s="152"/>
      <c r="F7" s="2"/>
      <c r="G7" s="2"/>
      <c r="H7" s="153" t="s">
        <v>253</v>
      </c>
      <c r="I7" s="151"/>
      <c r="J7" s="2"/>
      <c r="K7" s="2"/>
      <c r="L7" s="2"/>
      <c r="M7" s="2"/>
      <c r="N7" s="2"/>
    </row>
    <row r="8" spans="1:14" ht="18.75" customHeight="1">
      <c r="A8" s="2"/>
      <c r="B8" s="2"/>
      <c r="C8" s="2"/>
      <c r="D8" s="2"/>
      <c r="E8" s="152"/>
      <c r="F8" s="2"/>
      <c r="G8" s="2"/>
      <c r="H8" s="153" t="s">
        <v>254</v>
      </c>
      <c r="I8" s="151"/>
      <c r="J8" s="2"/>
      <c r="K8" s="2"/>
      <c r="L8" s="2"/>
      <c r="M8" s="2"/>
      <c r="N8" s="2"/>
    </row>
    <row r="9" spans="1:14" ht="15" customHeight="1">
      <c r="A9" s="2"/>
      <c r="B9" s="2"/>
      <c r="C9" s="2"/>
      <c r="D9" s="2"/>
      <c r="E9" s="2"/>
      <c r="F9" s="2"/>
      <c r="G9" s="2"/>
      <c r="H9" s="151"/>
      <c r="I9" s="151"/>
      <c r="J9" s="2"/>
      <c r="K9" s="2"/>
      <c r="L9" s="2"/>
      <c r="M9" s="2"/>
      <c r="N9" s="2"/>
    </row>
    <row r="10" spans="1:14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68.25" customHeight="1">
      <c r="A11" s="154" t="s">
        <v>501</v>
      </c>
      <c r="B11" s="155"/>
      <c r="C11" s="155"/>
      <c r="D11" s="155"/>
      <c r="E11" s="155"/>
      <c r="F11" s="155"/>
      <c r="G11" s="155"/>
      <c r="H11" s="155"/>
      <c r="I11" s="155"/>
      <c r="J11" s="2"/>
      <c r="K11" s="2"/>
      <c r="L11" s="2"/>
      <c r="M11" s="2"/>
      <c r="N11" s="2"/>
    </row>
    <row r="12" spans="1:14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 customHeight="1">
      <c r="A13" s="7"/>
      <c r="B13" s="7"/>
      <c r="C13" s="7"/>
      <c r="D13" s="7"/>
      <c r="E13" s="7"/>
      <c r="F13" s="7"/>
      <c r="G13" s="156"/>
      <c r="H13" s="7"/>
      <c r="I13" s="157" t="s">
        <v>256</v>
      </c>
      <c r="J13" s="2"/>
      <c r="K13" s="2"/>
      <c r="L13" s="2"/>
      <c r="M13" s="2"/>
      <c r="N13" s="2"/>
    </row>
    <row r="14" spans="1:14" ht="30" customHeight="1">
      <c r="A14" s="9" t="s">
        <v>9</v>
      </c>
      <c r="B14" s="144"/>
      <c r="C14" s="9" t="s">
        <v>379</v>
      </c>
      <c r="D14" s="9" t="s">
        <v>380</v>
      </c>
      <c r="E14" s="9" t="s">
        <v>257</v>
      </c>
      <c r="F14" s="9" t="s">
        <v>258</v>
      </c>
      <c r="G14" s="9" t="s">
        <v>10</v>
      </c>
      <c r="H14" s="9" t="s">
        <v>11</v>
      </c>
      <c r="I14" s="9" t="s">
        <v>12</v>
      </c>
      <c r="J14" s="10"/>
      <c r="K14" s="2"/>
      <c r="L14" s="2"/>
      <c r="M14" s="2"/>
      <c r="N14" s="25"/>
    </row>
    <row r="15" spans="1:14" ht="31.5" customHeight="1">
      <c r="A15" s="12" t="s">
        <v>502</v>
      </c>
      <c r="B15" s="138">
        <v>701</v>
      </c>
      <c r="C15" s="9"/>
      <c r="D15" s="9"/>
      <c r="E15" s="179"/>
      <c r="F15" s="179"/>
      <c r="G15" s="180">
        <f>G16</f>
        <v>3369432356.45</v>
      </c>
      <c r="H15" s="180">
        <f>H16</f>
        <v>2508435711.42</v>
      </c>
      <c r="I15" s="180">
        <f>I16</f>
        <v>2436308883.6116</v>
      </c>
      <c r="J15" s="10"/>
      <c r="K15" s="2"/>
      <c r="L15" s="2"/>
      <c r="M15" s="2"/>
      <c r="N15" s="25"/>
    </row>
    <row r="16" spans="1:14" ht="16.5" customHeight="1">
      <c r="A16" s="22" t="s">
        <v>259</v>
      </c>
      <c r="B16" s="138">
        <v>701</v>
      </c>
      <c r="C16" s="22"/>
      <c r="D16" s="22"/>
      <c r="E16" s="158"/>
      <c r="F16" s="158"/>
      <c r="G16" s="159">
        <f>G17+G77+G89+G145+G154+G231+G261+G269+G325+G346+G135</f>
        <v>3369432356.45</v>
      </c>
      <c r="H16" s="159">
        <f>H17+H77+H89+H145+H154+H231+H261+H269+H325+H346+H135</f>
        <v>2508435711.42</v>
      </c>
      <c r="I16" s="159">
        <f>I17+I77+I89+I145+I154+I231+I261+I269+I325+I346+I135</f>
        <v>2436308883.6116</v>
      </c>
      <c r="J16" s="10"/>
      <c r="K16" s="2"/>
      <c r="L16" s="2"/>
      <c r="M16" s="2"/>
      <c r="N16" s="2"/>
    </row>
    <row r="17" spans="1:14" ht="16.5" customHeight="1">
      <c r="A17" s="87" t="s">
        <v>382</v>
      </c>
      <c r="B17" s="164" t="s">
        <v>503</v>
      </c>
      <c r="C17" s="134" t="s">
        <v>383</v>
      </c>
      <c r="D17" s="134"/>
      <c r="E17" s="134"/>
      <c r="F17" s="134"/>
      <c r="G17" s="135">
        <f>G18+G22+G28+G35+G45+G49+G41</f>
        <v>654550748.49</v>
      </c>
      <c r="H17" s="135">
        <f>H18+H22+H28+H35+H45+H49+H41</f>
        <v>624356429.11</v>
      </c>
      <c r="I17" s="135">
        <f>I18+I22+I28+I35+I45+I49+I41</f>
        <v>757188677.47</v>
      </c>
      <c r="J17" s="10"/>
      <c r="K17" s="2"/>
      <c r="L17" s="2"/>
      <c r="M17" s="2"/>
      <c r="N17" s="2"/>
    </row>
    <row r="18" spans="1:14" ht="49.5" customHeight="1">
      <c r="A18" s="87" t="s">
        <v>384</v>
      </c>
      <c r="B18" s="164" t="s">
        <v>503</v>
      </c>
      <c r="C18" s="134" t="s">
        <v>383</v>
      </c>
      <c r="D18" s="134" t="s">
        <v>385</v>
      </c>
      <c r="E18" s="134"/>
      <c r="F18" s="134"/>
      <c r="G18" s="135">
        <f>G19</f>
        <v>6857940.14</v>
      </c>
      <c r="H18" s="135">
        <f>H19</f>
        <v>6572995.6</v>
      </c>
      <c r="I18" s="135">
        <f>I19</f>
        <v>6576358.8</v>
      </c>
      <c r="J18" s="10"/>
      <c r="K18" s="2"/>
      <c r="L18" s="2"/>
      <c r="M18" s="2"/>
      <c r="N18" s="2"/>
    </row>
    <row r="19" spans="1:14" ht="16.5" customHeight="1">
      <c r="A19" s="87" t="s">
        <v>386</v>
      </c>
      <c r="B19" s="138">
        <v>701</v>
      </c>
      <c r="C19" s="134" t="s">
        <v>383</v>
      </c>
      <c r="D19" s="134" t="s">
        <v>385</v>
      </c>
      <c r="E19" s="134" t="s">
        <v>387</v>
      </c>
      <c r="F19" s="134"/>
      <c r="G19" s="135">
        <f>G20</f>
        <v>6857940.14</v>
      </c>
      <c r="H19" s="135">
        <f>H20</f>
        <v>6572995.6</v>
      </c>
      <c r="I19" s="135">
        <f>I20</f>
        <v>6576358.8</v>
      </c>
      <c r="J19" s="10"/>
      <c r="K19" s="2"/>
      <c r="L19" s="2"/>
      <c r="M19" s="2"/>
      <c r="N19" s="2"/>
    </row>
    <row r="20" spans="1:14" ht="60" customHeight="1">
      <c r="A20" s="71" t="s">
        <v>388</v>
      </c>
      <c r="B20" s="164" t="s">
        <v>503</v>
      </c>
      <c r="C20" s="143" t="s">
        <v>383</v>
      </c>
      <c r="D20" s="143" t="s">
        <v>385</v>
      </c>
      <c r="E20" s="143" t="s">
        <v>389</v>
      </c>
      <c r="F20" s="143"/>
      <c r="G20" s="137">
        <f>G21</f>
        <v>6857940.14</v>
      </c>
      <c r="H20" s="137">
        <f>H21</f>
        <v>6572995.6</v>
      </c>
      <c r="I20" s="137">
        <f>I21</f>
        <v>6576358.8</v>
      </c>
      <c r="J20" s="10"/>
      <c r="K20" s="2"/>
      <c r="L20" s="2"/>
      <c r="M20" s="2"/>
      <c r="N20" s="2"/>
    </row>
    <row r="21" spans="1:14" ht="85.5" customHeight="1">
      <c r="A21" s="71" t="s">
        <v>264</v>
      </c>
      <c r="B21" s="164" t="s">
        <v>503</v>
      </c>
      <c r="C21" s="143" t="s">
        <v>383</v>
      </c>
      <c r="D21" s="143" t="s">
        <v>385</v>
      </c>
      <c r="E21" s="143" t="s">
        <v>389</v>
      </c>
      <c r="F21" s="143" t="s">
        <v>299</v>
      </c>
      <c r="G21" s="160">
        <v>6857940.14</v>
      </c>
      <c r="H21" s="160">
        <v>6572995.6</v>
      </c>
      <c r="I21" s="160">
        <v>6576358.8</v>
      </c>
      <c r="J21" s="10"/>
      <c r="K21" s="2"/>
      <c r="L21" s="2"/>
      <c r="M21" s="2"/>
      <c r="N21" s="2"/>
    </row>
    <row r="22" spans="1:14" ht="61.5" customHeight="1">
      <c r="A22" s="87" t="s">
        <v>392</v>
      </c>
      <c r="B22" s="164" t="s">
        <v>503</v>
      </c>
      <c r="C22" s="134" t="s">
        <v>383</v>
      </c>
      <c r="D22" s="134" t="s">
        <v>393</v>
      </c>
      <c r="E22" s="134"/>
      <c r="F22" s="134"/>
      <c r="G22" s="135">
        <f>G23</f>
        <v>3323998.34</v>
      </c>
      <c r="H22" s="135">
        <f>H23</f>
        <v>4122956.32</v>
      </c>
      <c r="I22" s="135">
        <f>I23</f>
        <v>4252157.71</v>
      </c>
      <c r="J22" s="10"/>
      <c r="K22" s="2"/>
      <c r="L22" s="2"/>
      <c r="M22" s="2"/>
      <c r="N22" s="2"/>
    </row>
    <row r="23" spans="1:14" ht="16.5" customHeight="1">
      <c r="A23" s="87" t="s">
        <v>386</v>
      </c>
      <c r="B23" s="164" t="s">
        <v>503</v>
      </c>
      <c r="C23" s="134" t="s">
        <v>383</v>
      </c>
      <c r="D23" s="134" t="s">
        <v>393</v>
      </c>
      <c r="E23" s="134" t="s">
        <v>387</v>
      </c>
      <c r="F23" s="134"/>
      <c r="G23" s="135">
        <f>G24</f>
        <v>3323998.34</v>
      </c>
      <c r="H23" s="135">
        <f>H24</f>
        <v>4122956.32</v>
      </c>
      <c r="I23" s="135">
        <f>I24</f>
        <v>4252157.71</v>
      </c>
      <c r="J23" s="10"/>
      <c r="K23" s="2"/>
      <c r="L23" s="2"/>
      <c r="M23" s="2"/>
      <c r="N23" s="2"/>
    </row>
    <row r="24" spans="1:14" ht="60" customHeight="1">
      <c r="A24" s="71" t="s">
        <v>388</v>
      </c>
      <c r="B24" s="164" t="s">
        <v>503</v>
      </c>
      <c r="C24" s="143" t="s">
        <v>383</v>
      </c>
      <c r="D24" s="143" t="s">
        <v>393</v>
      </c>
      <c r="E24" s="143" t="s">
        <v>389</v>
      </c>
      <c r="F24" s="143"/>
      <c r="G24" s="137">
        <f>G25+G26+G27</f>
        <v>3323998.34</v>
      </c>
      <c r="H24" s="137">
        <f>H25+H26+H27</f>
        <v>4122956.32</v>
      </c>
      <c r="I24" s="137">
        <f>I25+I26+I27</f>
        <v>4252157.71</v>
      </c>
      <c r="J24" s="10"/>
      <c r="K24" s="2"/>
      <c r="L24" s="2"/>
      <c r="M24" s="2"/>
      <c r="N24" s="2"/>
    </row>
    <row r="25" spans="1:14" ht="76.5" customHeight="1">
      <c r="A25" s="71" t="s">
        <v>264</v>
      </c>
      <c r="B25" s="164" t="s">
        <v>503</v>
      </c>
      <c r="C25" s="143" t="s">
        <v>383</v>
      </c>
      <c r="D25" s="143" t="s">
        <v>393</v>
      </c>
      <c r="E25" s="143" t="s">
        <v>389</v>
      </c>
      <c r="F25" s="143" t="s">
        <v>299</v>
      </c>
      <c r="G25" s="137">
        <v>443979.95</v>
      </c>
      <c r="H25" s="137">
        <v>698034.66</v>
      </c>
      <c r="I25" s="137">
        <v>698034.66</v>
      </c>
      <c r="J25" s="10"/>
      <c r="K25" s="2"/>
      <c r="L25" s="2"/>
      <c r="M25" s="2"/>
      <c r="N25" s="2"/>
    </row>
    <row r="26" spans="1:14" ht="30.75" customHeight="1">
      <c r="A26" s="71" t="s">
        <v>265</v>
      </c>
      <c r="B26" s="164" t="s">
        <v>503</v>
      </c>
      <c r="C26" s="143" t="s">
        <v>383</v>
      </c>
      <c r="D26" s="143" t="s">
        <v>393</v>
      </c>
      <c r="E26" s="143" t="s">
        <v>389</v>
      </c>
      <c r="F26" s="143" t="s">
        <v>330</v>
      </c>
      <c r="G26" s="137">
        <v>2860018.39</v>
      </c>
      <c r="H26" s="137">
        <v>3399921.66</v>
      </c>
      <c r="I26" s="137">
        <v>3529123.05</v>
      </c>
      <c r="J26" s="10"/>
      <c r="K26" s="2"/>
      <c r="L26" s="2"/>
      <c r="M26" s="2"/>
      <c r="N26" s="2"/>
    </row>
    <row r="27" spans="1:14" ht="16.5" customHeight="1">
      <c r="A27" s="71" t="s">
        <v>267</v>
      </c>
      <c r="B27" s="164" t="s">
        <v>503</v>
      </c>
      <c r="C27" s="143" t="s">
        <v>383</v>
      </c>
      <c r="D27" s="143" t="s">
        <v>393</v>
      </c>
      <c r="E27" s="143" t="s">
        <v>389</v>
      </c>
      <c r="F27" s="143" t="s">
        <v>306</v>
      </c>
      <c r="G27" s="137">
        <v>20000</v>
      </c>
      <c r="H27" s="137">
        <v>25000</v>
      </c>
      <c r="I27" s="137">
        <v>25000</v>
      </c>
      <c r="J27" s="10"/>
      <c r="K27" s="2"/>
      <c r="L27" s="2"/>
      <c r="M27" s="2"/>
      <c r="N27" s="2"/>
    </row>
    <row r="28" spans="1:14" ht="61.5" customHeight="1">
      <c r="A28" s="87" t="s">
        <v>396</v>
      </c>
      <c r="B28" s="164" t="s">
        <v>503</v>
      </c>
      <c r="C28" s="134" t="s">
        <v>383</v>
      </c>
      <c r="D28" s="134" t="s">
        <v>397</v>
      </c>
      <c r="E28" s="134"/>
      <c r="F28" s="134"/>
      <c r="G28" s="135">
        <f>G29</f>
        <v>66830144.16</v>
      </c>
      <c r="H28" s="135">
        <f>H29</f>
        <v>64607619.22</v>
      </c>
      <c r="I28" s="135">
        <f>I29</f>
        <v>65061241.19</v>
      </c>
      <c r="J28" s="10"/>
      <c r="K28" s="2"/>
      <c r="L28" s="2"/>
      <c r="M28" s="2"/>
      <c r="N28" s="2"/>
    </row>
    <row r="29" spans="1:14" ht="16.5" customHeight="1">
      <c r="A29" s="87" t="s">
        <v>386</v>
      </c>
      <c r="B29" s="164" t="s">
        <v>503</v>
      </c>
      <c r="C29" s="134" t="s">
        <v>383</v>
      </c>
      <c r="D29" s="134" t="s">
        <v>397</v>
      </c>
      <c r="E29" s="134" t="s">
        <v>387</v>
      </c>
      <c r="F29" s="134"/>
      <c r="G29" s="135">
        <f>G30</f>
        <v>66830144.16</v>
      </c>
      <c r="H29" s="135">
        <f>H30</f>
        <v>64607619.22</v>
      </c>
      <c r="I29" s="135">
        <f>I30</f>
        <v>65061241.19</v>
      </c>
      <c r="J29" s="10"/>
      <c r="K29" s="2"/>
      <c r="L29" s="2"/>
      <c r="M29" s="2"/>
      <c r="N29" s="2"/>
    </row>
    <row r="30" spans="1:14" ht="60.75" customHeight="1">
      <c r="A30" s="71" t="s">
        <v>388</v>
      </c>
      <c r="B30" s="164" t="s">
        <v>503</v>
      </c>
      <c r="C30" s="143" t="s">
        <v>383</v>
      </c>
      <c r="D30" s="143" t="s">
        <v>397</v>
      </c>
      <c r="E30" s="143" t="s">
        <v>389</v>
      </c>
      <c r="F30" s="143"/>
      <c r="G30" s="137">
        <f>SUM(G31:G34)</f>
        <v>66830144.16</v>
      </c>
      <c r="H30" s="137">
        <f>SUM(H31:H34)</f>
        <v>64607619.22</v>
      </c>
      <c r="I30" s="137">
        <f>SUM(I31:I34)</f>
        <v>65061241.19</v>
      </c>
      <c r="J30" s="10"/>
      <c r="K30" s="2"/>
      <c r="L30" s="2"/>
      <c r="M30" s="2"/>
      <c r="N30" s="2"/>
    </row>
    <row r="31" spans="1:14" ht="75" customHeight="1">
      <c r="A31" s="71" t="s">
        <v>264</v>
      </c>
      <c r="B31" s="164" t="s">
        <v>503</v>
      </c>
      <c r="C31" s="143" t="s">
        <v>383</v>
      </c>
      <c r="D31" s="143" t="s">
        <v>397</v>
      </c>
      <c r="E31" s="143" t="s">
        <v>389</v>
      </c>
      <c r="F31" s="143" t="s">
        <v>299</v>
      </c>
      <c r="G31" s="137">
        <v>60642847.06</v>
      </c>
      <c r="H31" s="137">
        <v>57483867.12</v>
      </c>
      <c r="I31" s="137">
        <v>57672134.77</v>
      </c>
      <c r="J31" s="10"/>
      <c r="K31" s="2"/>
      <c r="L31" s="2"/>
      <c r="M31" s="2"/>
      <c r="N31" s="2"/>
    </row>
    <row r="32" spans="1:14" ht="30.75" customHeight="1">
      <c r="A32" s="71" t="s">
        <v>265</v>
      </c>
      <c r="B32" s="164" t="s">
        <v>503</v>
      </c>
      <c r="C32" s="143" t="s">
        <v>383</v>
      </c>
      <c r="D32" s="143" t="s">
        <v>397</v>
      </c>
      <c r="E32" s="143" t="s">
        <v>389</v>
      </c>
      <c r="F32" s="143" t="s">
        <v>330</v>
      </c>
      <c r="G32" s="137">
        <v>5647781.2</v>
      </c>
      <c r="H32" s="137">
        <v>6961444.07</v>
      </c>
      <c r="I32" s="137">
        <v>7220306.07</v>
      </c>
      <c r="J32" s="10"/>
      <c r="K32" s="2"/>
      <c r="L32" s="2"/>
      <c r="M32" s="2"/>
      <c r="N32" s="2"/>
    </row>
    <row r="33" spans="1:14" ht="16.5" customHeight="1">
      <c r="A33" s="71" t="s">
        <v>266</v>
      </c>
      <c r="B33" s="164" t="s">
        <v>503</v>
      </c>
      <c r="C33" s="143" t="s">
        <v>383</v>
      </c>
      <c r="D33" s="143" t="s">
        <v>397</v>
      </c>
      <c r="E33" s="143" t="s">
        <v>389</v>
      </c>
      <c r="F33" s="143" t="s">
        <v>335</v>
      </c>
      <c r="G33" s="137">
        <v>394183.9</v>
      </c>
      <c r="H33" s="137">
        <v>0</v>
      </c>
      <c r="I33" s="137">
        <v>0</v>
      </c>
      <c r="J33" s="10"/>
      <c r="K33" s="2"/>
      <c r="L33" s="2"/>
      <c r="M33" s="2"/>
      <c r="N33" s="2"/>
    </row>
    <row r="34" spans="1:14" ht="16.5" customHeight="1">
      <c r="A34" s="71" t="s">
        <v>267</v>
      </c>
      <c r="B34" s="164" t="s">
        <v>503</v>
      </c>
      <c r="C34" s="143" t="s">
        <v>383</v>
      </c>
      <c r="D34" s="143" t="s">
        <v>397</v>
      </c>
      <c r="E34" s="143" t="s">
        <v>389</v>
      </c>
      <c r="F34" s="143" t="s">
        <v>306</v>
      </c>
      <c r="G34" s="137">
        <v>145332</v>
      </c>
      <c r="H34" s="137">
        <v>162308.03</v>
      </c>
      <c r="I34" s="137">
        <v>168800.35</v>
      </c>
      <c r="J34" s="10"/>
      <c r="K34" s="2"/>
      <c r="L34" s="2"/>
      <c r="M34" s="2"/>
      <c r="N34" s="2"/>
    </row>
    <row r="35" spans="1:14" ht="46.5" customHeight="1">
      <c r="A35" s="87" t="s">
        <v>400</v>
      </c>
      <c r="B35" s="164" t="s">
        <v>503</v>
      </c>
      <c r="C35" s="134" t="s">
        <v>383</v>
      </c>
      <c r="D35" s="134" t="s">
        <v>401</v>
      </c>
      <c r="E35" s="134"/>
      <c r="F35" s="134"/>
      <c r="G35" s="135">
        <f>G36</f>
        <v>44730393.85</v>
      </c>
      <c r="H35" s="135">
        <f>H36</f>
        <v>39196555.57</v>
      </c>
      <c r="I35" s="135">
        <f>I36</f>
        <v>40038193.86</v>
      </c>
      <c r="J35" s="10"/>
      <c r="K35" s="2"/>
      <c r="L35" s="2"/>
      <c r="M35" s="2"/>
      <c r="N35" s="2"/>
    </row>
    <row r="36" spans="1:14" ht="16.5" customHeight="1">
      <c r="A36" s="87" t="s">
        <v>386</v>
      </c>
      <c r="B36" s="164" t="s">
        <v>503</v>
      </c>
      <c r="C36" s="134" t="s">
        <v>383</v>
      </c>
      <c r="D36" s="134" t="s">
        <v>401</v>
      </c>
      <c r="E36" s="134" t="s">
        <v>387</v>
      </c>
      <c r="F36" s="134"/>
      <c r="G36" s="135">
        <f>G37</f>
        <v>44730393.85</v>
      </c>
      <c r="H36" s="135">
        <f>H37</f>
        <v>39196555.57</v>
      </c>
      <c r="I36" s="135">
        <f>I37</f>
        <v>40038193.86</v>
      </c>
      <c r="J36" s="10"/>
      <c r="K36" s="2"/>
      <c r="L36" s="2"/>
      <c r="M36" s="2"/>
      <c r="N36" s="2"/>
    </row>
    <row r="37" spans="1:14" ht="62.25" customHeight="1">
      <c r="A37" s="71" t="s">
        <v>388</v>
      </c>
      <c r="B37" s="164" t="s">
        <v>503</v>
      </c>
      <c r="C37" s="143" t="s">
        <v>383</v>
      </c>
      <c r="D37" s="143" t="s">
        <v>401</v>
      </c>
      <c r="E37" s="143" t="s">
        <v>389</v>
      </c>
      <c r="F37" s="143"/>
      <c r="G37" s="137">
        <f>SUM(G38:G40)</f>
        <v>44730393.85</v>
      </c>
      <c r="H37" s="137">
        <f>SUM(H38:H40)</f>
        <v>39196555.57</v>
      </c>
      <c r="I37" s="137">
        <f>SUM(I38:I40)</f>
        <v>40038193.86</v>
      </c>
      <c r="J37" s="10"/>
      <c r="K37" s="2"/>
      <c r="L37" s="2"/>
      <c r="M37" s="2"/>
      <c r="N37" s="2"/>
    </row>
    <row r="38" spans="1:14" ht="74.25" customHeight="1">
      <c r="A38" s="71" t="s">
        <v>264</v>
      </c>
      <c r="B38" s="164" t="s">
        <v>503</v>
      </c>
      <c r="C38" s="143" t="s">
        <v>383</v>
      </c>
      <c r="D38" s="143" t="s">
        <v>401</v>
      </c>
      <c r="E38" s="143" t="s">
        <v>389</v>
      </c>
      <c r="F38" s="143" t="s">
        <v>299</v>
      </c>
      <c r="G38" s="137">
        <v>41457335.45</v>
      </c>
      <c r="H38" s="137">
        <v>35662515.94</v>
      </c>
      <c r="I38" s="137">
        <v>36464879.94</v>
      </c>
      <c r="J38" s="10"/>
      <c r="K38" s="2"/>
      <c r="L38" s="2"/>
      <c r="M38" s="2"/>
      <c r="N38" s="2"/>
    </row>
    <row r="39" spans="1:14" ht="30.75" customHeight="1">
      <c r="A39" s="71" t="s">
        <v>265</v>
      </c>
      <c r="B39" s="164" t="s">
        <v>503</v>
      </c>
      <c r="C39" s="143" t="s">
        <v>383</v>
      </c>
      <c r="D39" s="143" t="s">
        <v>401</v>
      </c>
      <c r="E39" s="143" t="s">
        <v>389</v>
      </c>
      <c r="F39" s="143" t="s">
        <v>330</v>
      </c>
      <c r="G39" s="137">
        <v>3118702.4</v>
      </c>
      <c r="H39" s="137">
        <v>3534039.63</v>
      </c>
      <c r="I39" s="137">
        <v>3573313.92</v>
      </c>
      <c r="J39" s="10"/>
      <c r="K39" s="2"/>
      <c r="L39" s="2"/>
      <c r="M39" s="2"/>
      <c r="N39" s="2"/>
    </row>
    <row r="40" spans="1:14" ht="16.5" customHeight="1">
      <c r="A40" s="71" t="s">
        <v>266</v>
      </c>
      <c r="B40" s="164" t="s">
        <v>503</v>
      </c>
      <c r="C40" s="143" t="s">
        <v>383</v>
      </c>
      <c r="D40" s="143" t="s">
        <v>401</v>
      </c>
      <c r="E40" s="143" t="s">
        <v>389</v>
      </c>
      <c r="F40" s="143" t="s">
        <v>335</v>
      </c>
      <c r="G40" s="137">
        <v>154356</v>
      </c>
      <c r="H40" s="137">
        <v>0</v>
      </c>
      <c r="I40" s="137">
        <v>0</v>
      </c>
      <c r="J40" s="10"/>
      <c r="K40" s="2"/>
      <c r="L40" s="2"/>
      <c r="M40" s="2"/>
      <c r="N40" s="2"/>
    </row>
    <row r="41" spans="1:14" ht="16.5" customHeight="1">
      <c r="A41" s="87" t="s">
        <v>404</v>
      </c>
      <c r="B41" s="164" t="s">
        <v>503</v>
      </c>
      <c r="C41" s="134" t="s">
        <v>383</v>
      </c>
      <c r="D41" s="134" t="s">
        <v>405</v>
      </c>
      <c r="E41" s="134"/>
      <c r="F41" s="134"/>
      <c r="G41" s="135">
        <f>G42</f>
        <v>1000</v>
      </c>
      <c r="H41" s="135">
        <f>H42</f>
        <v>0</v>
      </c>
      <c r="I41" s="135">
        <f>I42</f>
        <v>0</v>
      </c>
      <c r="J41" s="10"/>
      <c r="K41" s="2"/>
      <c r="L41" s="2"/>
      <c r="M41" s="2"/>
      <c r="N41" s="2"/>
    </row>
    <row r="42" spans="1:14" ht="16.5" customHeight="1">
      <c r="A42" s="87" t="s">
        <v>386</v>
      </c>
      <c r="B42" s="164" t="s">
        <v>503</v>
      </c>
      <c r="C42" s="134" t="s">
        <v>383</v>
      </c>
      <c r="D42" s="134" t="s">
        <v>405</v>
      </c>
      <c r="E42" s="134" t="s">
        <v>387</v>
      </c>
      <c r="F42" s="134"/>
      <c r="G42" s="135">
        <f>G43</f>
        <v>1000</v>
      </c>
      <c r="H42" s="135">
        <f>H43</f>
        <v>0</v>
      </c>
      <c r="I42" s="135">
        <f>I43</f>
        <v>0</v>
      </c>
      <c r="J42" s="10"/>
      <c r="K42" s="2"/>
      <c r="L42" s="2"/>
      <c r="M42" s="2"/>
      <c r="N42" s="2"/>
    </row>
    <row r="43" spans="1:14" ht="16.5" customHeight="1">
      <c r="A43" s="71" t="s">
        <v>406</v>
      </c>
      <c r="B43" s="164" t="s">
        <v>503</v>
      </c>
      <c r="C43" s="143" t="s">
        <v>383</v>
      </c>
      <c r="D43" s="143" t="s">
        <v>405</v>
      </c>
      <c r="E43" s="143" t="s">
        <v>407</v>
      </c>
      <c r="F43" s="143"/>
      <c r="G43" s="137">
        <f>G44</f>
        <v>1000</v>
      </c>
      <c r="H43" s="137">
        <f>H44</f>
        <v>0</v>
      </c>
      <c r="I43" s="137">
        <f>I44</f>
        <v>0</v>
      </c>
      <c r="J43" s="10"/>
      <c r="K43" s="2"/>
      <c r="L43" s="2"/>
      <c r="M43" s="2"/>
      <c r="N43" s="2"/>
    </row>
    <row r="44" spans="1:14" ht="30.75" customHeight="1">
      <c r="A44" s="71" t="s">
        <v>265</v>
      </c>
      <c r="B44" s="164" t="s">
        <v>503</v>
      </c>
      <c r="C44" s="143" t="s">
        <v>383</v>
      </c>
      <c r="D44" s="143" t="s">
        <v>405</v>
      </c>
      <c r="E44" s="143" t="s">
        <v>407</v>
      </c>
      <c r="F44" s="143" t="s">
        <v>330</v>
      </c>
      <c r="G44" s="137">
        <v>1000</v>
      </c>
      <c r="H44" s="137">
        <v>0</v>
      </c>
      <c r="I44" s="137">
        <v>0</v>
      </c>
      <c r="J44" s="10"/>
      <c r="K44" s="2"/>
      <c r="L44" s="2"/>
      <c r="M44" s="2"/>
      <c r="N44" s="2"/>
    </row>
    <row r="45" spans="1:14" ht="16.5" customHeight="1">
      <c r="A45" s="87" t="s">
        <v>411</v>
      </c>
      <c r="B45" s="164" t="s">
        <v>503</v>
      </c>
      <c r="C45" s="134" t="s">
        <v>383</v>
      </c>
      <c r="D45" s="134" t="s">
        <v>412</v>
      </c>
      <c r="E45" s="134"/>
      <c r="F45" s="134"/>
      <c r="G45" s="135">
        <f>G46</f>
        <v>40017479.91</v>
      </c>
      <c r="H45" s="135">
        <f>H46</f>
        <v>30000000</v>
      </c>
      <c r="I45" s="135">
        <f>I46</f>
        <v>30000000</v>
      </c>
      <c r="J45" s="10"/>
      <c r="K45" s="2"/>
      <c r="L45" s="2"/>
      <c r="M45" s="2"/>
      <c r="N45" s="2"/>
    </row>
    <row r="46" spans="1:14" ht="16.5" customHeight="1">
      <c r="A46" s="87" t="s">
        <v>386</v>
      </c>
      <c r="B46" s="164" t="s">
        <v>503</v>
      </c>
      <c r="C46" s="134" t="s">
        <v>383</v>
      </c>
      <c r="D46" s="134" t="s">
        <v>412</v>
      </c>
      <c r="E46" s="134" t="s">
        <v>387</v>
      </c>
      <c r="F46" s="134"/>
      <c r="G46" s="135">
        <f>G47</f>
        <v>40017479.91</v>
      </c>
      <c r="H46" s="135">
        <f>H47</f>
        <v>30000000</v>
      </c>
      <c r="I46" s="135">
        <f>I47</f>
        <v>30000000</v>
      </c>
      <c r="J46" s="10"/>
      <c r="K46" s="2"/>
      <c r="L46" s="2"/>
      <c r="M46" s="2"/>
      <c r="N46" s="2"/>
    </row>
    <row r="47" spans="1:14" ht="16.5" customHeight="1">
      <c r="A47" s="71" t="s">
        <v>472</v>
      </c>
      <c r="B47" s="164" t="s">
        <v>503</v>
      </c>
      <c r="C47" s="143" t="s">
        <v>383</v>
      </c>
      <c r="D47" s="143" t="s">
        <v>412</v>
      </c>
      <c r="E47" s="143" t="s">
        <v>407</v>
      </c>
      <c r="F47" s="143"/>
      <c r="G47" s="137">
        <f>G48</f>
        <v>40017479.91</v>
      </c>
      <c r="H47" s="137">
        <f>H48</f>
        <v>30000000</v>
      </c>
      <c r="I47" s="137">
        <f>I48</f>
        <v>30000000</v>
      </c>
      <c r="J47" s="10"/>
      <c r="K47" s="2"/>
      <c r="L47" s="2"/>
      <c r="M47" s="2"/>
      <c r="N47" s="2"/>
    </row>
    <row r="48" spans="1:14" ht="16.5" customHeight="1">
      <c r="A48" s="71" t="s">
        <v>267</v>
      </c>
      <c r="B48" s="164" t="s">
        <v>503</v>
      </c>
      <c r="C48" s="143" t="s">
        <v>383</v>
      </c>
      <c r="D48" s="143" t="s">
        <v>412</v>
      </c>
      <c r="E48" s="143" t="s">
        <v>407</v>
      </c>
      <c r="F48" s="143" t="s">
        <v>306</v>
      </c>
      <c r="G48" s="137">
        <v>40017479.91</v>
      </c>
      <c r="H48" s="137">
        <v>30000000</v>
      </c>
      <c r="I48" s="137">
        <v>30000000</v>
      </c>
      <c r="J48" s="10"/>
      <c r="K48" s="2"/>
      <c r="L48" s="2"/>
      <c r="M48" s="2"/>
      <c r="N48" s="2"/>
    </row>
    <row r="49" spans="1:14" ht="16.5" customHeight="1">
      <c r="A49" s="87" t="s">
        <v>415</v>
      </c>
      <c r="B49" s="164" t="s">
        <v>503</v>
      </c>
      <c r="C49" s="134" t="s">
        <v>383</v>
      </c>
      <c r="D49" s="134" t="s">
        <v>410</v>
      </c>
      <c r="E49" s="134"/>
      <c r="F49" s="134"/>
      <c r="G49" s="135">
        <f>G50+G53+G65</f>
        <v>492789792.09</v>
      </c>
      <c r="H49" s="135">
        <f>H50+H53+H65</f>
        <v>479856302.4</v>
      </c>
      <c r="I49" s="135">
        <f>I50+I53+I65</f>
        <v>611260725.91</v>
      </c>
      <c r="J49" s="10"/>
      <c r="K49" s="2"/>
      <c r="L49" s="2"/>
      <c r="M49" s="2"/>
      <c r="N49" s="2"/>
    </row>
    <row r="50" spans="1:14" ht="47.25" customHeight="1">
      <c r="A50" s="87" t="s">
        <v>338</v>
      </c>
      <c r="B50" s="164" t="s">
        <v>503</v>
      </c>
      <c r="C50" s="134" t="s">
        <v>383</v>
      </c>
      <c r="D50" s="134" t="s">
        <v>410</v>
      </c>
      <c r="E50" s="134" t="s">
        <v>339</v>
      </c>
      <c r="F50" s="134"/>
      <c r="G50" s="135">
        <f>G51</f>
        <v>8152727.29</v>
      </c>
      <c r="H50" s="135">
        <f>H51</f>
        <v>11277200</v>
      </c>
      <c r="I50" s="135">
        <f>I51</f>
        <v>9735155</v>
      </c>
      <c r="J50" s="10"/>
      <c r="K50" s="2"/>
      <c r="L50" s="2"/>
      <c r="M50" s="2"/>
      <c r="N50" s="2"/>
    </row>
    <row r="51" spans="1:14" ht="30.75" customHeight="1">
      <c r="A51" s="71" t="s">
        <v>340</v>
      </c>
      <c r="B51" s="164" t="s">
        <v>503</v>
      </c>
      <c r="C51" s="143" t="s">
        <v>383</v>
      </c>
      <c r="D51" s="143" t="s">
        <v>410</v>
      </c>
      <c r="E51" s="143" t="s">
        <v>341</v>
      </c>
      <c r="F51" s="143"/>
      <c r="G51" s="137">
        <f>G52</f>
        <v>8152727.29</v>
      </c>
      <c r="H51" s="137">
        <f>H52</f>
        <v>11277200</v>
      </c>
      <c r="I51" s="137">
        <f>I52</f>
        <v>9735155</v>
      </c>
      <c r="J51" s="10"/>
      <c r="K51" s="2"/>
      <c r="L51" s="2"/>
      <c r="M51" s="2"/>
      <c r="N51" s="2"/>
    </row>
    <row r="52" spans="1:14" ht="30.75" customHeight="1">
      <c r="A52" s="71" t="s">
        <v>265</v>
      </c>
      <c r="B52" s="164" t="s">
        <v>503</v>
      </c>
      <c r="C52" s="143" t="s">
        <v>383</v>
      </c>
      <c r="D52" s="143" t="s">
        <v>410</v>
      </c>
      <c r="E52" s="143" t="s">
        <v>341</v>
      </c>
      <c r="F52" s="143" t="s">
        <v>330</v>
      </c>
      <c r="G52" s="137">
        <v>8152727.29</v>
      </c>
      <c r="H52" s="137">
        <v>11277200</v>
      </c>
      <c r="I52" s="137">
        <v>9735155</v>
      </c>
      <c r="J52" s="10"/>
      <c r="K52" s="2"/>
      <c r="L52" s="2"/>
      <c r="M52" s="2"/>
      <c r="N52" s="2"/>
    </row>
    <row r="53" spans="1:14" ht="33.75" customHeight="1">
      <c r="A53" s="87" t="s">
        <v>345</v>
      </c>
      <c r="B53" s="164" t="s">
        <v>503</v>
      </c>
      <c r="C53" s="134" t="s">
        <v>383</v>
      </c>
      <c r="D53" s="134" t="s">
        <v>410</v>
      </c>
      <c r="E53" s="134" t="s">
        <v>346</v>
      </c>
      <c r="F53" s="134"/>
      <c r="G53" s="135">
        <f>G54+G58+G62</f>
        <v>58557170.98</v>
      </c>
      <c r="H53" s="135">
        <f>H54+H58+H62</f>
        <v>192588146.38</v>
      </c>
      <c r="I53" s="135">
        <f>I54+I58+I62</f>
        <v>317524529.65</v>
      </c>
      <c r="J53" s="10"/>
      <c r="K53" s="2"/>
      <c r="L53" s="2"/>
      <c r="M53" s="2"/>
      <c r="N53" s="2"/>
    </row>
    <row r="54" spans="1:14" ht="16.5" customHeight="1">
      <c r="A54" s="71" t="s">
        <v>262</v>
      </c>
      <c r="B54" s="164" t="s">
        <v>503</v>
      </c>
      <c r="C54" s="143" t="s">
        <v>383</v>
      </c>
      <c r="D54" s="143" t="s">
        <v>410</v>
      </c>
      <c r="E54" s="143" t="s">
        <v>347</v>
      </c>
      <c r="F54" s="143"/>
      <c r="G54" s="137">
        <f>SUM(G55:G57)</f>
        <v>32707249.57</v>
      </c>
      <c r="H54" s="137">
        <f>SUM(H55:H57)</f>
        <v>35124419.43</v>
      </c>
      <c r="I54" s="137">
        <f>SUM(I55:I57)</f>
        <v>35109419.73</v>
      </c>
      <c r="J54" s="10"/>
      <c r="K54" s="2"/>
      <c r="L54" s="2"/>
      <c r="M54" s="2"/>
      <c r="N54" s="25"/>
    </row>
    <row r="55" spans="1:14" ht="75.75" customHeight="1">
      <c r="A55" s="71" t="s">
        <v>264</v>
      </c>
      <c r="B55" s="164" t="s">
        <v>503</v>
      </c>
      <c r="C55" s="143" t="s">
        <v>383</v>
      </c>
      <c r="D55" s="143" t="s">
        <v>410</v>
      </c>
      <c r="E55" s="143" t="s">
        <v>347</v>
      </c>
      <c r="F55" s="143" t="s">
        <v>299</v>
      </c>
      <c r="G55" s="137">
        <v>30764804.9</v>
      </c>
      <c r="H55" s="137">
        <v>33239290</v>
      </c>
      <c r="I55" s="137">
        <v>33239290</v>
      </c>
      <c r="J55" s="10"/>
      <c r="K55" s="2"/>
      <c r="L55" s="2"/>
      <c r="M55" s="2"/>
      <c r="N55" s="2"/>
    </row>
    <row r="56" spans="1:14" ht="30.75" customHeight="1">
      <c r="A56" s="71" t="s">
        <v>265</v>
      </c>
      <c r="B56" s="164" t="s">
        <v>503</v>
      </c>
      <c r="C56" s="143" t="s">
        <v>383</v>
      </c>
      <c r="D56" s="143" t="s">
        <v>410</v>
      </c>
      <c r="E56" s="143" t="s">
        <v>347</v>
      </c>
      <c r="F56" s="143" t="s">
        <v>330</v>
      </c>
      <c r="G56" s="137">
        <v>1939444.67</v>
      </c>
      <c r="H56" s="137">
        <v>1882129.43</v>
      </c>
      <c r="I56" s="137">
        <v>1867129.73</v>
      </c>
      <c r="J56" s="10"/>
      <c r="K56" s="2"/>
      <c r="L56" s="2"/>
      <c r="M56" s="2"/>
      <c r="N56" s="2"/>
    </row>
    <row r="57" spans="1:14" ht="16.5" customHeight="1">
      <c r="A57" s="71" t="s">
        <v>267</v>
      </c>
      <c r="B57" s="164" t="s">
        <v>503</v>
      </c>
      <c r="C57" s="143" t="s">
        <v>383</v>
      </c>
      <c r="D57" s="143" t="s">
        <v>410</v>
      </c>
      <c r="E57" s="143" t="s">
        <v>347</v>
      </c>
      <c r="F57" s="143" t="s">
        <v>306</v>
      </c>
      <c r="G57" s="137">
        <v>3000</v>
      </c>
      <c r="H57" s="137">
        <v>3000</v>
      </c>
      <c r="I57" s="137">
        <v>3000</v>
      </c>
      <c r="J57" s="10"/>
      <c r="K57" s="2"/>
      <c r="L57" s="2"/>
      <c r="M57" s="2"/>
      <c r="N57" s="2"/>
    </row>
    <row r="58" spans="1:14" ht="16.5" customHeight="1">
      <c r="A58" s="84" t="s">
        <v>348</v>
      </c>
      <c r="B58" s="164" t="s">
        <v>503</v>
      </c>
      <c r="C58" s="134" t="s">
        <v>383</v>
      </c>
      <c r="D58" s="134" t="s">
        <v>410</v>
      </c>
      <c r="E58" s="134" t="s">
        <v>349</v>
      </c>
      <c r="F58" s="134"/>
      <c r="G58" s="135">
        <f>G59+G60+G61</f>
        <v>15765853.75</v>
      </c>
      <c r="H58" s="135">
        <f>H59+H60+H61</f>
        <v>156885676.95</v>
      </c>
      <c r="I58" s="135">
        <f>I59+I60+I61</f>
        <v>281843109.92</v>
      </c>
      <c r="J58" s="10"/>
      <c r="K58" s="2"/>
      <c r="L58" s="2"/>
      <c r="M58" s="2"/>
      <c r="N58" s="2"/>
    </row>
    <row r="59" spans="1:14" ht="30.75" customHeight="1">
      <c r="A59" s="71" t="s">
        <v>265</v>
      </c>
      <c r="B59" s="164" t="s">
        <v>503</v>
      </c>
      <c r="C59" s="143" t="s">
        <v>383</v>
      </c>
      <c r="D59" s="143" t="s">
        <v>410</v>
      </c>
      <c r="E59" s="143" t="s">
        <v>349</v>
      </c>
      <c r="F59" s="143" t="s">
        <v>330</v>
      </c>
      <c r="G59" s="137">
        <v>12299103.75</v>
      </c>
      <c r="H59" s="137">
        <v>6885676.95</v>
      </c>
      <c r="I59" s="137">
        <v>6813609.92</v>
      </c>
      <c r="J59" s="10"/>
      <c r="K59" s="2"/>
      <c r="L59" s="2"/>
      <c r="M59" s="2"/>
      <c r="N59" s="2"/>
    </row>
    <row r="60" spans="1:14" ht="30.75" customHeight="1">
      <c r="A60" s="71" t="s">
        <v>350</v>
      </c>
      <c r="B60" s="164" t="s">
        <v>503</v>
      </c>
      <c r="C60" s="143" t="s">
        <v>383</v>
      </c>
      <c r="D60" s="143" t="s">
        <v>410</v>
      </c>
      <c r="E60" s="143" t="s">
        <v>349</v>
      </c>
      <c r="F60" s="143" t="s">
        <v>344</v>
      </c>
      <c r="G60" s="137">
        <f>приложение4!F59</f>
        <v>3464000</v>
      </c>
      <c r="H60" s="137">
        <f>приложение4!G59</f>
        <v>150000000</v>
      </c>
      <c r="I60" s="137">
        <f>приложение4!H59</f>
        <v>275029500</v>
      </c>
      <c r="J60" s="10"/>
      <c r="K60" s="2"/>
      <c r="L60" s="2"/>
      <c r="M60" s="2"/>
      <c r="N60" s="2"/>
    </row>
    <row r="61" spans="1:14" ht="16.5" customHeight="1">
      <c r="A61" s="71" t="s">
        <v>267</v>
      </c>
      <c r="B61" s="164" t="s">
        <v>503</v>
      </c>
      <c r="C61" s="143" t="s">
        <v>383</v>
      </c>
      <c r="D61" s="143" t="s">
        <v>410</v>
      </c>
      <c r="E61" s="143" t="s">
        <v>349</v>
      </c>
      <c r="F61" s="143" t="s">
        <v>306</v>
      </c>
      <c r="G61" s="137">
        <v>2750</v>
      </c>
      <c r="H61" s="137">
        <v>0</v>
      </c>
      <c r="I61" s="137">
        <v>0</v>
      </c>
      <c r="J61" s="10"/>
      <c r="K61" s="2"/>
      <c r="L61" s="2"/>
      <c r="M61" s="2"/>
      <c r="N61" s="2"/>
    </row>
    <row r="62" spans="1:14" ht="31.5" customHeight="1">
      <c r="A62" s="84" t="s">
        <v>351</v>
      </c>
      <c r="B62" s="164" t="s">
        <v>503</v>
      </c>
      <c r="C62" s="134" t="s">
        <v>383</v>
      </c>
      <c r="D62" s="134" t="s">
        <v>410</v>
      </c>
      <c r="E62" s="134" t="s">
        <v>352</v>
      </c>
      <c r="F62" s="134"/>
      <c r="G62" s="135">
        <f>G63+G64</f>
        <v>10084067.66</v>
      </c>
      <c r="H62" s="135">
        <f>H63+H64</f>
        <v>578050</v>
      </c>
      <c r="I62" s="135">
        <f>I63+I64</f>
        <v>572000</v>
      </c>
      <c r="J62" s="10"/>
      <c r="K62" s="2"/>
      <c r="L62" s="2"/>
      <c r="M62" s="2"/>
      <c r="N62" s="2"/>
    </row>
    <row r="63" spans="1:14" ht="30.75" customHeight="1">
      <c r="A63" s="71" t="s">
        <v>265</v>
      </c>
      <c r="B63" s="164" t="s">
        <v>503</v>
      </c>
      <c r="C63" s="143" t="s">
        <v>383</v>
      </c>
      <c r="D63" s="143" t="s">
        <v>410</v>
      </c>
      <c r="E63" s="143" t="s">
        <v>352</v>
      </c>
      <c r="F63" s="143" t="s">
        <v>330</v>
      </c>
      <c r="G63" s="137">
        <v>9925176.66</v>
      </c>
      <c r="H63" s="137">
        <v>578050</v>
      </c>
      <c r="I63" s="137">
        <v>572000</v>
      </c>
      <c r="J63" s="10"/>
      <c r="K63" s="2"/>
      <c r="L63" s="2"/>
      <c r="M63" s="2"/>
      <c r="N63" s="2"/>
    </row>
    <row r="64" spans="1:14" ht="16.5" customHeight="1">
      <c r="A64" s="71" t="s">
        <v>267</v>
      </c>
      <c r="B64" s="164" t="s">
        <v>503</v>
      </c>
      <c r="C64" s="143" t="s">
        <v>383</v>
      </c>
      <c r="D64" s="143" t="s">
        <v>410</v>
      </c>
      <c r="E64" s="143" t="s">
        <v>352</v>
      </c>
      <c r="F64" s="143" t="s">
        <v>306</v>
      </c>
      <c r="G64" s="137">
        <v>158891</v>
      </c>
      <c r="H64" s="137">
        <v>0</v>
      </c>
      <c r="I64" s="137">
        <v>0</v>
      </c>
      <c r="J64" s="10"/>
      <c r="K64" s="2"/>
      <c r="L64" s="2"/>
      <c r="M64" s="2"/>
      <c r="N64" s="2"/>
    </row>
    <row r="65" spans="1:14" ht="16.5" customHeight="1">
      <c r="A65" s="87" t="s">
        <v>386</v>
      </c>
      <c r="B65" s="164" t="s">
        <v>503</v>
      </c>
      <c r="C65" s="134" t="s">
        <v>383</v>
      </c>
      <c r="D65" s="134" t="s">
        <v>410</v>
      </c>
      <c r="E65" s="138">
        <v>9900000000</v>
      </c>
      <c r="F65" s="134"/>
      <c r="G65" s="135">
        <f>G66+G72</f>
        <v>426079893.82</v>
      </c>
      <c r="H65" s="135">
        <f>H66+H72</f>
        <v>275990956.02</v>
      </c>
      <c r="I65" s="135">
        <f>I66+I72</f>
        <v>284001041.26</v>
      </c>
      <c r="J65" s="10"/>
      <c r="K65" s="2"/>
      <c r="L65" s="2"/>
      <c r="M65" s="2"/>
      <c r="N65" s="2"/>
    </row>
    <row r="66" spans="1:14" ht="63.75" customHeight="1">
      <c r="A66" s="71" t="s">
        <v>388</v>
      </c>
      <c r="B66" s="164" t="s">
        <v>503</v>
      </c>
      <c r="C66" s="143" t="s">
        <v>383</v>
      </c>
      <c r="D66" s="143" t="s">
        <v>410</v>
      </c>
      <c r="E66" s="146">
        <v>9910000000</v>
      </c>
      <c r="F66" s="143"/>
      <c r="G66" s="137">
        <f>SUM(G67:G71)</f>
        <v>340776009.03</v>
      </c>
      <c r="H66" s="137">
        <f>SUM(H67:H71)</f>
        <v>270354469.27</v>
      </c>
      <c r="I66" s="137">
        <f>SUM(I67:I71)</f>
        <v>278148290.24</v>
      </c>
      <c r="J66" s="10"/>
      <c r="K66" s="2"/>
      <c r="L66" s="2"/>
      <c r="M66" s="2"/>
      <c r="N66" s="2"/>
    </row>
    <row r="67" spans="1:14" ht="75.75" customHeight="1">
      <c r="A67" s="71" t="s">
        <v>264</v>
      </c>
      <c r="B67" s="164" t="s">
        <v>503</v>
      </c>
      <c r="C67" s="143" t="s">
        <v>383</v>
      </c>
      <c r="D67" s="143" t="s">
        <v>410</v>
      </c>
      <c r="E67" s="146">
        <v>9910000000</v>
      </c>
      <c r="F67" s="143" t="s">
        <v>299</v>
      </c>
      <c r="G67" s="137">
        <v>96578563.61</v>
      </c>
      <c r="H67" s="137">
        <v>58129959.24</v>
      </c>
      <c r="I67" s="137">
        <v>58786751.09</v>
      </c>
      <c r="J67" s="10"/>
      <c r="K67" s="2"/>
      <c r="L67" s="2"/>
      <c r="M67" s="2"/>
      <c r="N67" s="2"/>
    </row>
    <row r="68" spans="1:14" ht="30.75" customHeight="1">
      <c r="A68" s="71" t="s">
        <v>265</v>
      </c>
      <c r="B68" s="164" t="s">
        <v>503</v>
      </c>
      <c r="C68" s="143" t="s">
        <v>383</v>
      </c>
      <c r="D68" s="143" t="s">
        <v>410</v>
      </c>
      <c r="E68" s="146">
        <v>9910000000</v>
      </c>
      <c r="F68" s="143" t="s">
        <v>330</v>
      </c>
      <c r="G68" s="137">
        <v>13672655.72</v>
      </c>
      <c r="H68" s="137">
        <v>11421491.08</v>
      </c>
      <c r="I68" s="137">
        <v>11800428.24</v>
      </c>
      <c r="J68" s="10"/>
      <c r="K68" s="2"/>
      <c r="L68" s="2"/>
      <c r="M68" s="2"/>
      <c r="N68" s="2"/>
    </row>
    <row r="69" spans="1:14" ht="16.5" customHeight="1">
      <c r="A69" s="71" t="s">
        <v>266</v>
      </c>
      <c r="B69" s="164" t="s">
        <v>503</v>
      </c>
      <c r="C69" s="143" t="s">
        <v>383</v>
      </c>
      <c r="D69" s="143" t="s">
        <v>410</v>
      </c>
      <c r="E69" s="146">
        <v>9910000000</v>
      </c>
      <c r="F69" s="143" t="s">
        <v>335</v>
      </c>
      <c r="G69" s="137">
        <v>264067.44</v>
      </c>
      <c r="H69" s="137">
        <v>0</v>
      </c>
      <c r="I69" s="137">
        <v>0</v>
      </c>
      <c r="J69" s="10"/>
      <c r="K69" s="2"/>
      <c r="L69" s="2"/>
      <c r="M69" s="2"/>
      <c r="N69" s="2"/>
    </row>
    <row r="70" spans="1:14" ht="30.75" customHeight="1">
      <c r="A70" s="71" t="s">
        <v>274</v>
      </c>
      <c r="B70" s="164" t="s">
        <v>503</v>
      </c>
      <c r="C70" s="143" t="s">
        <v>383</v>
      </c>
      <c r="D70" s="143" t="s">
        <v>410</v>
      </c>
      <c r="E70" s="146">
        <v>9910000000</v>
      </c>
      <c r="F70" s="143" t="s">
        <v>417</v>
      </c>
      <c r="G70" s="137">
        <v>229151212.26</v>
      </c>
      <c r="H70" s="137">
        <v>199814928.95</v>
      </c>
      <c r="I70" s="137">
        <v>206609660.91</v>
      </c>
      <c r="J70" s="10"/>
      <c r="K70" s="2"/>
      <c r="L70" s="2"/>
      <c r="M70" s="2"/>
      <c r="N70" s="2"/>
    </row>
    <row r="71" spans="1:14" ht="16.5" customHeight="1">
      <c r="A71" s="71" t="s">
        <v>267</v>
      </c>
      <c r="B71" s="164" t="s">
        <v>503</v>
      </c>
      <c r="C71" s="143" t="s">
        <v>383</v>
      </c>
      <c r="D71" s="143" t="s">
        <v>410</v>
      </c>
      <c r="E71" s="146">
        <v>9910000000</v>
      </c>
      <c r="F71" s="143" t="s">
        <v>306</v>
      </c>
      <c r="G71" s="137">
        <v>1109510</v>
      </c>
      <c r="H71" s="137">
        <v>988090</v>
      </c>
      <c r="I71" s="137">
        <v>951450</v>
      </c>
      <c r="J71" s="10"/>
      <c r="K71" s="2"/>
      <c r="L71" s="2"/>
      <c r="M71" s="2"/>
      <c r="N71" s="2"/>
    </row>
    <row r="72" spans="1:14" ht="16.5" customHeight="1">
      <c r="A72" s="71" t="s">
        <v>406</v>
      </c>
      <c r="B72" s="164" t="s">
        <v>503</v>
      </c>
      <c r="C72" s="143" t="s">
        <v>383</v>
      </c>
      <c r="D72" s="143" t="s">
        <v>410</v>
      </c>
      <c r="E72" s="143" t="s">
        <v>407</v>
      </c>
      <c r="F72" s="143"/>
      <c r="G72" s="137">
        <f>SUM(G73:G76)</f>
        <v>85303884.79</v>
      </c>
      <c r="H72" s="137">
        <f>SUM(H73:H76)</f>
        <v>5636486.75</v>
      </c>
      <c r="I72" s="137">
        <f>SUM(I73:I76)</f>
        <v>5852751.02</v>
      </c>
      <c r="J72" s="10"/>
      <c r="K72" s="2"/>
      <c r="L72" s="2"/>
      <c r="M72" s="2"/>
      <c r="N72" s="2"/>
    </row>
    <row r="73" spans="1:14" ht="30.75" customHeight="1">
      <c r="A73" s="71" t="s">
        <v>265</v>
      </c>
      <c r="B73" s="164" t="s">
        <v>503</v>
      </c>
      <c r="C73" s="143" t="s">
        <v>383</v>
      </c>
      <c r="D73" s="143" t="s">
        <v>410</v>
      </c>
      <c r="E73" s="143" t="s">
        <v>407</v>
      </c>
      <c r="F73" s="143" t="s">
        <v>330</v>
      </c>
      <c r="G73" s="137">
        <f>приложение4!F72</f>
        <v>7820156.87</v>
      </c>
      <c r="H73" s="137">
        <f>приложение4!G72</f>
        <v>5406606.75</v>
      </c>
      <c r="I73" s="137">
        <f>приложение4!H72</f>
        <v>5622871.02</v>
      </c>
      <c r="J73" s="10"/>
      <c r="K73" s="2"/>
      <c r="L73" s="2"/>
      <c r="M73" s="2"/>
      <c r="N73" s="2"/>
    </row>
    <row r="74" spans="1:14" ht="16.5" customHeight="1">
      <c r="A74" s="71" t="s">
        <v>266</v>
      </c>
      <c r="B74" s="164" t="s">
        <v>503</v>
      </c>
      <c r="C74" s="143" t="s">
        <v>383</v>
      </c>
      <c r="D74" s="143" t="s">
        <v>410</v>
      </c>
      <c r="E74" s="143" t="s">
        <v>407</v>
      </c>
      <c r="F74" s="143" t="s">
        <v>335</v>
      </c>
      <c r="G74" s="137">
        <v>1220779.31</v>
      </c>
      <c r="H74" s="137">
        <v>229880</v>
      </c>
      <c r="I74" s="137">
        <v>229880</v>
      </c>
      <c r="J74" s="10"/>
      <c r="K74" s="2"/>
      <c r="L74" s="2"/>
      <c r="M74" s="2"/>
      <c r="N74" s="2"/>
    </row>
    <row r="75" spans="1:14" ht="30.75" customHeight="1">
      <c r="A75" s="71" t="s">
        <v>274</v>
      </c>
      <c r="B75" s="164" t="s">
        <v>503</v>
      </c>
      <c r="C75" s="143" t="s">
        <v>383</v>
      </c>
      <c r="D75" s="143" t="s">
        <v>410</v>
      </c>
      <c r="E75" s="143" t="s">
        <v>407</v>
      </c>
      <c r="F75" s="143" t="s">
        <v>417</v>
      </c>
      <c r="G75" s="137">
        <v>52712700.92</v>
      </c>
      <c r="H75" s="137">
        <v>0</v>
      </c>
      <c r="I75" s="137">
        <v>0</v>
      </c>
      <c r="J75" s="10"/>
      <c r="K75" s="2"/>
      <c r="L75" s="2"/>
      <c r="M75" s="2"/>
      <c r="N75" s="2"/>
    </row>
    <row r="76" spans="1:14" ht="16.5" customHeight="1">
      <c r="A76" s="71" t="s">
        <v>267</v>
      </c>
      <c r="B76" s="164" t="s">
        <v>503</v>
      </c>
      <c r="C76" s="143" t="s">
        <v>383</v>
      </c>
      <c r="D76" s="143" t="s">
        <v>410</v>
      </c>
      <c r="E76" s="143" t="s">
        <v>407</v>
      </c>
      <c r="F76" s="143" t="s">
        <v>306</v>
      </c>
      <c r="G76" s="137">
        <f>приложение4!F75</f>
        <v>23550247.69</v>
      </c>
      <c r="H76" s="137">
        <f>приложение4!G75</f>
        <v>0</v>
      </c>
      <c r="I76" s="137">
        <f>приложение4!H75</f>
        <v>0</v>
      </c>
      <c r="J76" s="10"/>
      <c r="K76" s="2"/>
      <c r="L76" s="2"/>
      <c r="M76" s="2"/>
      <c r="N76" s="2"/>
    </row>
    <row r="77" spans="1:14" ht="31.5" customHeight="1">
      <c r="A77" s="87" t="s">
        <v>420</v>
      </c>
      <c r="B77" s="164" t="s">
        <v>503</v>
      </c>
      <c r="C77" s="134" t="s">
        <v>393</v>
      </c>
      <c r="D77" s="134"/>
      <c r="E77" s="134"/>
      <c r="F77" s="134"/>
      <c r="G77" s="135">
        <f>G78</f>
        <v>15686837.2</v>
      </c>
      <c r="H77" s="135">
        <f>H78</f>
        <v>15237569</v>
      </c>
      <c r="I77" s="135">
        <f>I78</f>
        <v>15417016</v>
      </c>
      <c r="J77" s="10"/>
      <c r="K77" s="2"/>
      <c r="L77" s="2"/>
      <c r="M77" s="2"/>
      <c r="N77" s="2"/>
    </row>
    <row r="78" spans="1:14" ht="63" customHeight="1">
      <c r="A78" s="87" t="s">
        <v>421</v>
      </c>
      <c r="B78" s="164" t="s">
        <v>503</v>
      </c>
      <c r="C78" s="134" t="s">
        <v>393</v>
      </c>
      <c r="D78" s="134" t="s">
        <v>422</v>
      </c>
      <c r="E78" s="134"/>
      <c r="F78" s="134"/>
      <c r="G78" s="135">
        <f>G79+G82</f>
        <v>15686837.2</v>
      </c>
      <c r="H78" s="135">
        <f>H79+H82</f>
        <v>15237569</v>
      </c>
      <c r="I78" s="135">
        <f>I79+I82</f>
        <v>15417016</v>
      </c>
      <c r="J78" s="10"/>
      <c r="K78" s="2"/>
      <c r="L78" s="2"/>
      <c r="M78" s="2"/>
      <c r="N78" s="2"/>
    </row>
    <row r="79" spans="1:14" ht="47.25" customHeight="1">
      <c r="A79" s="87" t="s">
        <v>366</v>
      </c>
      <c r="B79" s="164" t="s">
        <v>503</v>
      </c>
      <c r="C79" s="134" t="s">
        <v>393</v>
      </c>
      <c r="D79" s="134" t="s">
        <v>422</v>
      </c>
      <c r="E79" s="134" t="s">
        <v>473</v>
      </c>
      <c r="F79" s="134"/>
      <c r="G79" s="135">
        <f>G80</f>
        <v>1500000</v>
      </c>
      <c r="H79" s="135">
        <f>H80</f>
        <v>1500000</v>
      </c>
      <c r="I79" s="135">
        <f>I80</f>
        <v>1500000</v>
      </c>
      <c r="J79" s="10"/>
      <c r="K79" s="2"/>
      <c r="L79" s="2"/>
      <c r="M79" s="2"/>
      <c r="N79" s="2"/>
    </row>
    <row r="80" spans="1:14" ht="75.75" customHeight="1">
      <c r="A80" s="71" t="s">
        <v>367</v>
      </c>
      <c r="B80" s="164" t="s">
        <v>503</v>
      </c>
      <c r="C80" s="143" t="s">
        <v>393</v>
      </c>
      <c r="D80" s="143" t="s">
        <v>422</v>
      </c>
      <c r="E80" s="143" t="s">
        <v>474</v>
      </c>
      <c r="F80" s="143"/>
      <c r="G80" s="137">
        <f>G81</f>
        <v>1500000</v>
      </c>
      <c r="H80" s="137">
        <f>H81</f>
        <v>1500000</v>
      </c>
      <c r="I80" s="137">
        <f>I81</f>
        <v>1500000</v>
      </c>
      <c r="J80" s="10"/>
      <c r="K80" s="2"/>
      <c r="L80" s="2"/>
      <c r="M80" s="2"/>
      <c r="N80" s="2"/>
    </row>
    <row r="81" spans="1:14" ht="30.75" customHeight="1">
      <c r="A81" s="71" t="s">
        <v>265</v>
      </c>
      <c r="B81" s="164" t="s">
        <v>503</v>
      </c>
      <c r="C81" s="143" t="s">
        <v>393</v>
      </c>
      <c r="D81" s="143" t="s">
        <v>422</v>
      </c>
      <c r="E81" s="143" t="s">
        <v>474</v>
      </c>
      <c r="F81" s="143" t="s">
        <v>330</v>
      </c>
      <c r="G81" s="137">
        <v>1500000</v>
      </c>
      <c r="H81" s="137">
        <v>1500000</v>
      </c>
      <c r="I81" s="137">
        <v>1500000</v>
      </c>
      <c r="J81" s="10"/>
      <c r="K81" s="2"/>
      <c r="L81" s="2"/>
      <c r="M81" s="2"/>
      <c r="N81" s="2"/>
    </row>
    <row r="82" spans="1:14" ht="16.5" customHeight="1">
      <c r="A82" s="87" t="s">
        <v>386</v>
      </c>
      <c r="B82" s="164" t="s">
        <v>503</v>
      </c>
      <c r="C82" s="134" t="s">
        <v>393</v>
      </c>
      <c r="D82" s="134" t="s">
        <v>422</v>
      </c>
      <c r="E82" s="138">
        <v>9900000000</v>
      </c>
      <c r="F82" s="132"/>
      <c r="G82" s="135">
        <f>G83+G87</f>
        <v>14186837.2</v>
      </c>
      <c r="H82" s="135">
        <f>H83+H87</f>
        <v>13737569</v>
      </c>
      <c r="I82" s="135">
        <f>I83+I87</f>
        <v>13917016</v>
      </c>
      <c r="J82" s="10"/>
      <c r="K82" s="2"/>
      <c r="L82" s="2"/>
      <c r="M82" s="2"/>
      <c r="N82" s="2"/>
    </row>
    <row r="83" spans="1:14" ht="30.75" customHeight="1">
      <c r="A83" s="71" t="s">
        <v>388</v>
      </c>
      <c r="B83" s="164" t="s">
        <v>503</v>
      </c>
      <c r="C83" s="143" t="s">
        <v>393</v>
      </c>
      <c r="D83" s="143" t="s">
        <v>422</v>
      </c>
      <c r="E83" s="146">
        <v>9910000000</v>
      </c>
      <c r="F83" s="144"/>
      <c r="G83" s="137">
        <f>SUM(G84:G86)</f>
        <v>12387137.2</v>
      </c>
      <c r="H83" s="137">
        <f>SUM(H84:H86)</f>
        <v>12737569</v>
      </c>
      <c r="I83" s="137">
        <f>SUM(I84:I86)</f>
        <v>12917016</v>
      </c>
      <c r="J83" s="10"/>
      <c r="K83" s="2"/>
      <c r="L83" s="2"/>
      <c r="M83" s="2"/>
      <c r="N83" s="2"/>
    </row>
    <row r="84" spans="1:14" ht="75.75" customHeight="1">
      <c r="A84" s="71" t="s">
        <v>264</v>
      </c>
      <c r="B84" s="164" t="s">
        <v>503</v>
      </c>
      <c r="C84" s="143" t="s">
        <v>393</v>
      </c>
      <c r="D84" s="143" t="s">
        <v>422</v>
      </c>
      <c r="E84" s="146">
        <v>9910000000</v>
      </c>
      <c r="F84" s="143" t="s">
        <v>299</v>
      </c>
      <c r="G84" s="137">
        <v>10488183.77</v>
      </c>
      <c r="H84" s="137">
        <v>10846620</v>
      </c>
      <c r="I84" s="137">
        <v>10890620</v>
      </c>
      <c r="J84" s="10"/>
      <c r="K84" s="2"/>
      <c r="L84" s="2"/>
      <c r="M84" s="2"/>
      <c r="N84" s="2"/>
    </row>
    <row r="85" spans="1:14" ht="30.75" customHeight="1">
      <c r="A85" s="71" t="s">
        <v>265</v>
      </c>
      <c r="B85" s="164" t="s">
        <v>503</v>
      </c>
      <c r="C85" s="143" t="s">
        <v>393</v>
      </c>
      <c r="D85" s="143" t="s">
        <v>422</v>
      </c>
      <c r="E85" s="146">
        <v>9910000000</v>
      </c>
      <c r="F85" s="143" t="s">
        <v>330</v>
      </c>
      <c r="G85" s="137">
        <v>1897953.43</v>
      </c>
      <c r="H85" s="137">
        <v>1889949</v>
      </c>
      <c r="I85" s="137">
        <v>2025396</v>
      </c>
      <c r="J85" s="10"/>
      <c r="K85" s="2"/>
      <c r="L85" s="2"/>
      <c r="M85" s="2"/>
      <c r="N85" s="2"/>
    </row>
    <row r="86" spans="1:14" ht="16.5" customHeight="1">
      <c r="A86" s="71" t="s">
        <v>267</v>
      </c>
      <c r="B86" s="164" t="s">
        <v>503</v>
      </c>
      <c r="C86" s="143" t="s">
        <v>393</v>
      </c>
      <c r="D86" s="143" t="s">
        <v>422</v>
      </c>
      <c r="E86" s="146">
        <v>9910000000</v>
      </c>
      <c r="F86" s="146">
        <v>800</v>
      </c>
      <c r="G86" s="137">
        <v>1000</v>
      </c>
      <c r="H86" s="137">
        <v>1000</v>
      </c>
      <c r="I86" s="137">
        <v>1000</v>
      </c>
      <c r="J86" s="10"/>
      <c r="K86" s="2"/>
      <c r="L86" s="2"/>
      <c r="M86" s="2"/>
      <c r="N86" s="2"/>
    </row>
    <row r="87" spans="1:14" ht="16.5" customHeight="1">
      <c r="A87" s="71" t="s">
        <v>406</v>
      </c>
      <c r="B87" s="164" t="s">
        <v>503</v>
      </c>
      <c r="C87" s="143" t="s">
        <v>393</v>
      </c>
      <c r="D87" s="143" t="s">
        <v>422</v>
      </c>
      <c r="E87" s="146">
        <v>9950000000</v>
      </c>
      <c r="F87" s="144"/>
      <c r="G87" s="137">
        <f>G88</f>
        <v>1799700</v>
      </c>
      <c r="H87" s="137">
        <f>H88</f>
        <v>1000000</v>
      </c>
      <c r="I87" s="137">
        <f>I88</f>
        <v>1000000</v>
      </c>
      <c r="J87" s="10"/>
      <c r="K87" s="2"/>
      <c r="L87" s="2"/>
      <c r="M87" s="2"/>
      <c r="N87" s="2"/>
    </row>
    <row r="88" spans="1:14" ht="30.75" customHeight="1">
      <c r="A88" s="71" t="s">
        <v>265</v>
      </c>
      <c r="B88" s="164" t="s">
        <v>503</v>
      </c>
      <c r="C88" s="143" t="s">
        <v>393</v>
      </c>
      <c r="D88" s="143" t="s">
        <v>422</v>
      </c>
      <c r="E88" s="146">
        <v>9950000000</v>
      </c>
      <c r="F88" s="146">
        <v>200</v>
      </c>
      <c r="G88" s="137">
        <v>1799700</v>
      </c>
      <c r="H88" s="137">
        <v>1000000</v>
      </c>
      <c r="I88" s="137">
        <v>1000000</v>
      </c>
      <c r="J88" s="10"/>
      <c r="K88" s="2"/>
      <c r="L88" s="2"/>
      <c r="M88" s="2"/>
      <c r="N88" s="2"/>
    </row>
    <row r="89" spans="1:14" ht="16.5" customHeight="1">
      <c r="A89" s="87" t="s">
        <v>425</v>
      </c>
      <c r="B89" s="164" t="s">
        <v>503</v>
      </c>
      <c r="C89" s="134" t="s">
        <v>397</v>
      </c>
      <c r="D89" s="134"/>
      <c r="E89" s="134"/>
      <c r="F89" s="134"/>
      <c r="G89" s="135">
        <f>G90+G94+G114+G121+G129+G125</f>
        <v>192096835.18</v>
      </c>
      <c r="H89" s="135">
        <f>H90+H94+H114+H121+H129+H125</f>
        <v>118712604.69</v>
      </c>
      <c r="I89" s="135">
        <f>I90+I94+I114+I121+I129+I125</f>
        <v>116392588.96</v>
      </c>
      <c r="J89" s="10"/>
      <c r="K89" s="2"/>
      <c r="L89" s="2"/>
      <c r="M89" s="2"/>
      <c r="N89" s="2"/>
    </row>
    <row r="90" spans="1:14" ht="16.5" customHeight="1">
      <c r="A90" s="87" t="s">
        <v>426</v>
      </c>
      <c r="B90" s="164" t="s">
        <v>503</v>
      </c>
      <c r="C90" s="134" t="s">
        <v>397</v>
      </c>
      <c r="D90" s="134" t="s">
        <v>383</v>
      </c>
      <c r="E90" s="134"/>
      <c r="F90" s="134"/>
      <c r="G90" s="135">
        <f>G91</f>
        <v>945563.9</v>
      </c>
      <c r="H90" s="135">
        <f>H91</f>
        <v>828848.24</v>
      </c>
      <c r="I90" s="135">
        <f>I91</f>
        <v>828848.24</v>
      </c>
      <c r="J90" s="10"/>
      <c r="K90" s="2"/>
      <c r="L90" s="2"/>
      <c r="M90" s="2"/>
      <c r="N90" s="2"/>
    </row>
    <row r="91" spans="1:14" ht="16.5" customHeight="1">
      <c r="A91" s="87" t="s">
        <v>386</v>
      </c>
      <c r="B91" s="164" t="s">
        <v>503</v>
      </c>
      <c r="C91" s="134" t="s">
        <v>397</v>
      </c>
      <c r="D91" s="134" t="s">
        <v>383</v>
      </c>
      <c r="E91" s="142">
        <v>9900000000</v>
      </c>
      <c r="F91" s="134"/>
      <c r="G91" s="135">
        <f>G92</f>
        <v>945563.9</v>
      </c>
      <c r="H91" s="135">
        <f>H92</f>
        <v>828848.24</v>
      </c>
      <c r="I91" s="135">
        <f>I92</f>
        <v>828848.24</v>
      </c>
      <c r="J91" s="10"/>
      <c r="K91" s="2"/>
      <c r="L91" s="2"/>
      <c r="M91" s="2"/>
      <c r="N91" s="2"/>
    </row>
    <row r="92" spans="1:14" ht="30.75" customHeight="1">
      <c r="A92" s="71" t="s">
        <v>388</v>
      </c>
      <c r="B92" s="164" t="s">
        <v>503</v>
      </c>
      <c r="C92" s="143" t="s">
        <v>397</v>
      </c>
      <c r="D92" s="143" t="s">
        <v>383</v>
      </c>
      <c r="E92" s="143" t="s">
        <v>389</v>
      </c>
      <c r="F92" s="143"/>
      <c r="G92" s="137">
        <f>G93</f>
        <v>945563.9</v>
      </c>
      <c r="H92" s="137">
        <f>H93</f>
        <v>828848.24</v>
      </c>
      <c r="I92" s="137">
        <f>I93</f>
        <v>828848.24</v>
      </c>
      <c r="J92" s="10"/>
      <c r="K92" s="2"/>
      <c r="L92" s="2"/>
      <c r="M92" s="2"/>
      <c r="N92" s="2"/>
    </row>
    <row r="93" spans="1:14" ht="75.75" customHeight="1">
      <c r="A93" s="71" t="s">
        <v>264</v>
      </c>
      <c r="B93" s="164" t="s">
        <v>503</v>
      </c>
      <c r="C93" s="143" t="s">
        <v>397</v>
      </c>
      <c r="D93" s="143" t="s">
        <v>383</v>
      </c>
      <c r="E93" s="143" t="s">
        <v>389</v>
      </c>
      <c r="F93" s="143" t="s">
        <v>299</v>
      </c>
      <c r="G93" s="137">
        <v>945563.9</v>
      </c>
      <c r="H93" s="137">
        <v>828848.24</v>
      </c>
      <c r="I93" s="137">
        <v>828848.24</v>
      </c>
      <c r="J93" s="10"/>
      <c r="K93" s="2"/>
      <c r="L93" s="2"/>
      <c r="M93" s="2"/>
      <c r="N93" s="2"/>
    </row>
    <row r="94" spans="1:14" ht="16.5" customHeight="1">
      <c r="A94" s="87" t="s">
        <v>427</v>
      </c>
      <c r="B94" s="164" t="s">
        <v>503</v>
      </c>
      <c r="C94" s="134" t="s">
        <v>397</v>
      </c>
      <c r="D94" s="134" t="s">
        <v>428</v>
      </c>
      <c r="E94" s="134"/>
      <c r="F94" s="134"/>
      <c r="G94" s="135">
        <f>G95+G109</f>
        <v>122310984.93</v>
      </c>
      <c r="H94" s="135">
        <f>H95+H109</f>
        <v>79985030.95</v>
      </c>
      <c r="I94" s="135">
        <f>I95+I109</f>
        <v>82808305.22</v>
      </c>
      <c r="J94" s="10"/>
      <c r="K94" s="2"/>
      <c r="L94" s="2"/>
      <c r="M94" s="2"/>
      <c r="N94" s="2"/>
    </row>
    <row r="95" spans="1:14" ht="63" customHeight="1">
      <c r="A95" s="87" t="s">
        <v>295</v>
      </c>
      <c r="B95" s="164" t="s">
        <v>503</v>
      </c>
      <c r="C95" s="134" t="s">
        <v>397</v>
      </c>
      <c r="D95" s="134" t="s">
        <v>428</v>
      </c>
      <c r="E95" s="134" t="s">
        <v>296</v>
      </c>
      <c r="F95" s="134"/>
      <c r="G95" s="135">
        <f>G96+G99+G103+G105+G107+G101</f>
        <v>110951553.51</v>
      </c>
      <c r="H95" s="135">
        <f>H96+H99+H103+H105+H107+H101</f>
        <v>74479658.08</v>
      </c>
      <c r="I95" s="135">
        <f>I96+I99+I103+I105+I107+I101</f>
        <v>77302932.35</v>
      </c>
      <c r="J95" s="10"/>
      <c r="K95" s="2"/>
      <c r="L95" s="2"/>
      <c r="M95" s="2"/>
      <c r="N95" s="2"/>
    </row>
    <row r="96" spans="1:14" ht="16.5" customHeight="1">
      <c r="A96" s="71" t="s">
        <v>297</v>
      </c>
      <c r="B96" s="164" t="s">
        <v>503</v>
      </c>
      <c r="C96" s="143" t="s">
        <v>397</v>
      </c>
      <c r="D96" s="143" t="s">
        <v>428</v>
      </c>
      <c r="E96" s="143" t="s">
        <v>298</v>
      </c>
      <c r="F96" s="143"/>
      <c r="G96" s="137">
        <f>G97+G98</f>
        <v>2934301.78</v>
      </c>
      <c r="H96" s="137">
        <f>H97+H98</f>
        <v>2744658.08</v>
      </c>
      <c r="I96" s="137">
        <f>I97+I98</f>
        <v>2767433.35</v>
      </c>
      <c r="J96" s="10"/>
      <c r="K96" s="2"/>
      <c r="L96" s="2"/>
      <c r="M96" s="2"/>
      <c r="N96" s="2"/>
    </row>
    <row r="97" spans="1:14" ht="75.75" customHeight="1">
      <c r="A97" s="71" t="s">
        <v>264</v>
      </c>
      <c r="B97" s="164" t="s">
        <v>503</v>
      </c>
      <c r="C97" s="143" t="s">
        <v>397</v>
      </c>
      <c r="D97" s="143" t="s">
        <v>428</v>
      </c>
      <c r="E97" s="143" t="s">
        <v>298</v>
      </c>
      <c r="F97" s="143" t="s">
        <v>299</v>
      </c>
      <c r="G97" s="137">
        <v>1593596.79</v>
      </c>
      <c r="H97" s="137">
        <v>1326085.12</v>
      </c>
      <c r="I97" s="137">
        <v>1326085.12</v>
      </c>
      <c r="J97" s="10"/>
      <c r="K97" s="2"/>
      <c r="L97" s="2"/>
      <c r="M97" s="2"/>
      <c r="N97" s="2"/>
    </row>
    <row r="98" spans="1:14" ht="30.75" customHeight="1">
      <c r="A98" s="71" t="s">
        <v>265</v>
      </c>
      <c r="B98" s="164" t="s">
        <v>503</v>
      </c>
      <c r="C98" s="143" t="s">
        <v>397</v>
      </c>
      <c r="D98" s="143" t="s">
        <v>428</v>
      </c>
      <c r="E98" s="143" t="s">
        <v>298</v>
      </c>
      <c r="F98" s="161">
        <v>200</v>
      </c>
      <c r="G98" s="137">
        <v>1340704.99</v>
      </c>
      <c r="H98" s="137">
        <v>1418572.96</v>
      </c>
      <c r="I98" s="137">
        <v>1441348.23</v>
      </c>
      <c r="J98" s="10"/>
      <c r="K98" s="2"/>
      <c r="L98" s="2"/>
      <c r="M98" s="2"/>
      <c r="N98" s="2"/>
    </row>
    <row r="99" spans="1:14" ht="16.5" customHeight="1">
      <c r="A99" s="71" t="s">
        <v>300</v>
      </c>
      <c r="B99" s="164" t="s">
        <v>503</v>
      </c>
      <c r="C99" s="143" t="s">
        <v>397</v>
      </c>
      <c r="D99" s="143" t="s">
        <v>428</v>
      </c>
      <c r="E99" s="143" t="s">
        <v>301</v>
      </c>
      <c r="F99" s="162"/>
      <c r="G99" s="137">
        <f>G100</f>
        <v>84680612.65</v>
      </c>
      <c r="H99" s="137">
        <f>H100</f>
        <v>61735000</v>
      </c>
      <c r="I99" s="137">
        <f>I100</f>
        <v>60585000</v>
      </c>
      <c r="J99" s="10"/>
      <c r="K99" s="2"/>
      <c r="L99" s="2"/>
      <c r="M99" s="2"/>
      <c r="N99" s="2"/>
    </row>
    <row r="100" spans="1:14" ht="16.5" customHeight="1">
      <c r="A100" s="71" t="s">
        <v>267</v>
      </c>
      <c r="B100" s="164" t="s">
        <v>503</v>
      </c>
      <c r="C100" s="143" t="s">
        <v>397</v>
      </c>
      <c r="D100" s="143" t="s">
        <v>428</v>
      </c>
      <c r="E100" s="143" t="s">
        <v>301</v>
      </c>
      <c r="F100" s="161">
        <v>800</v>
      </c>
      <c r="G100" s="137">
        <v>84680612.65</v>
      </c>
      <c r="H100" s="137">
        <v>61735000</v>
      </c>
      <c r="I100" s="137">
        <v>60585000</v>
      </c>
      <c r="J100" s="10"/>
      <c r="K100" s="2"/>
      <c r="L100" s="2"/>
      <c r="M100" s="2"/>
      <c r="N100" s="2"/>
    </row>
    <row r="101" spans="1:14" ht="16.5" customHeight="1">
      <c r="A101" s="71" t="s">
        <v>475</v>
      </c>
      <c r="B101" s="164" t="s">
        <v>503</v>
      </c>
      <c r="C101" s="143" t="s">
        <v>397</v>
      </c>
      <c r="D101" s="143" t="s">
        <v>428</v>
      </c>
      <c r="E101" s="143" t="s">
        <v>303</v>
      </c>
      <c r="F101" s="162"/>
      <c r="G101" s="137">
        <f>G102</f>
        <v>235200</v>
      </c>
      <c r="H101" s="137">
        <f>H102</f>
        <v>0</v>
      </c>
      <c r="I101" s="137">
        <f>I102</f>
        <v>3950499</v>
      </c>
      <c r="J101" s="10"/>
      <c r="K101" s="2"/>
      <c r="L101" s="2"/>
      <c r="M101" s="2"/>
      <c r="N101" s="2"/>
    </row>
    <row r="102" spans="1:14" ht="16.5" customHeight="1">
      <c r="A102" s="71" t="s">
        <v>267</v>
      </c>
      <c r="B102" s="164" t="s">
        <v>503</v>
      </c>
      <c r="C102" s="143" t="s">
        <v>397</v>
      </c>
      <c r="D102" s="143" t="s">
        <v>428</v>
      </c>
      <c r="E102" s="143" t="s">
        <v>303</v>
      </c>
      <c r="F102" s="161">
        <v>800</v>
      </c>
      <c r="G102" s="137">
        <v>235200</v>
      </c>
      <c r="H102" s="137">
        <v>0</v>
      </c>
      <c r="I102" s="137">
        <v>3950499</v>
      </c>
      <c r="J102" s="10"/>
      <c r="K102" s="2"/>
      <c r="L102" s="2"/>
      <c r="M102" s="2"/>
      <c r="N102" s="2"/>
    </row>
    <row r="103" spans="1:14" ht="16.5" customHeight="1">
      <c r="A103" s="71" t="s">
        <v>304</v>
      </c>
      <c r="B103" s="164" t="s">
        <v>503</v>
      </c>
      <c r="C103" s="143" t="s">
        <v>397</v>
      </c>
      <c r="D103" s="143" t="s">
        <v>428</v>
      </c>
      <c r="E103" s="143" t="s">
        <v>305</v>
      </c>
      <c r="F103" s="162"/>
      <c r="G103" s="137">
        <f>G104</f>
        <v>8949439.08</v>
      </c>
      <c r="H103" s="137">
        <f>H104</f>
        <v>0</v>
      </c>
      <c r="I103" s="137">
        <f>I104</f>
        <v>0</v>
      </c>
      <c r="J103" s="10"/>
      <c r="K103" s="2"/>
      <c r="L103" s="2"/>
      <c r="M103" s="2"/>
      <c r="N103" s="2"/>
    </row>
    <row r="104" spans="1:14" ht="16.5" customHeight="1">
      <c r="A104" s="71" t="s">
        <v>267</v>
      </c>
      <c r="B104" s="164" t="s">
        <v>503</v>
      </c>
      <c r="C104" s="143" t="s">
        <v>397</v>
      </c>
      <c r="D104" s="143" t="s">
        <v>428</v>
      </c>
      <c r="E104" s="143" t="s">
        <v>305</v>
      </c>
      <c r="F104" s="143" t="s">
        <v>306</v>
      </c>
      <c r="G104" s="137">
        <v>8949439.08</v>
      </c>
      <c r="H104" s="137">
        <v>0</v>
      </c>
      <c r="I104" s="137">
        <v>0</v>
      </c>
      <c r="J104" s="10"/>
      <c r="K104" s="2"/>
      <c r="L104" s="2"/>
      <c r="M104" s="2"/>
      <c r="N104" s="2"/>
    </row>
    <row r="105" spans="1:14" ht="16.5" customHeight="1">
      <c r="A105" s="71" t="s">
        <v>307</v>
      </c>
      <c r="B105" s="164" t="s">
        <v>503</v>
      </c>
      <c r="C105" s="143" t="s">
        <v>397</v>
      </c>
      <c r="D105" s="143" t="s">
        <v>428</v>
      </c>
      <c r="E105" s="143" t="s">
        <v>308</v>
      </c>
      <c r="F105" s="143"/>
      <c r="G105" s="137">
        <f>G106</f>
        <v>10000000</v>
      </c>
      <c r="H105" s="137">
        <f>H106</f>
        <v>10000000</v>
      </c>
      <c r="I105" s="137">
        <f>I106</f>
        <v>10000000</v>
      </c>
      <c r="J105" s="10"/>
      <c r="K105" s="2"/>
      <c r="L105" s="2"/>
      <c r="M105" s="2"/>
      <c r="N105" s="2"/>
    </row>
    <row r="106" spans="1:14" ht="16.5" customHeight="1">
      <c r="A106" s="71" t="s">
        <v>267</v>
      </c>
      <c r="B106" s="164" t="s">
        <v>503</v>
      </c>
      <c r="C106" s="143" t="s">
        <v>397</v>
      </c>
      <c r="D106" s="143" t="s">
        <v>428</v>
      </c>
      <c r="E106" s="143" t="s">
        <v>308</v>
      </c>
      <c r="F106" s="143" t="s">
        <v>306</v>
      </c>
      <c r="G106" s="137">
        <v>10000000</v>
      </c>
      <c r="H106" s="137">
        <v>10000000</v>
      </c>
      <c r="I106" s="137">
        <v>10000000</v>
      </c>
      <c r="J106" s="10"/>
      <c r="K106" s="2"/>
      <c r="L106" s="2"/>
      <c r="M106" s="2"/>
      <c r="N106" s="2"/>
    </row>
    <row r="107" spans="1:14" ht="30.75" customHeight="1">
      <c r="A107" s="71" t="s">
        <v>309</v>
      </c>
      <c r="B107" s="164" t="s">
        <v>503</v>
      </c>
      <c r="C107" s="143" t="s">
        <v>397</v>
      </c>
      <c r="D107" s="143" t="s">
        <v>428</v>
      </c>
      <c r="E107" s="143" t="s">
        <v>310</v>
      </c>
      <c r="F107" s="143"/>
      <c r="G107" s="137">
        <f>G108</f>
        <v>4152000</v>
      </c>
      <c r="H107" s="137">
        <f>H108</f>
        <v>0</v>
      </c>
      <c r="I107" s="137">
        <f>I108</f>
        <v>0</v>
      </c>
      <c r="J107" s="10"/>
      <c r="K107" s="2"/>
      <c r="L107" s="2"/>
      <c r="M107" s="2"/>
      <c r="N107" s="2"/>
    </row>
    <row r="108" spans="1:14" ht="16.5" customHeight="1">
      <c r="A108" s="71" t="s">
        <v>267</v>
      </c>
      <c r="B108" s="164" t="s">
        <v>503</v>
      </c>
      <c r="C108" s="143" t="s">
        <v>397</v>
      </c>
      <c r="D108" s="143" t="s">
        <v>428</v>
      </c>
      <c r="E108" s="143" t="s">
        <v>310</v>
      </c>
      <c r="F108" s="146">
        <v>800</v>
      </c>
      <c r="G108" s="137">
        <v>4152000</v>
      </c>
      <c r="H108" s="137">
        <v>0</v>
      </c>
      <c r="I108" s="137">
        <v>0</v>
      </c>
      <c r="J108" s="10"/>
      <c r="K108" s="2"/>
      <c r="L108" s="2"/>
      <c r="M108" s="2"/>
      <c r="N108" s="2"/>
    </row>
    <row r="109" spans="1:14" ht="16.5" customHeight="1">
      <c r="A109" s="87" t="s">
        <v>386</v>
      </c>
      <c r="B109" s="164" t="s">
        <v>503</v>
      </c>
      <c r="C109" s="134" t="s">
        <v>397</v>
      </c>
      <c r="D109" s="134" t="s">
        <v>428</v>
      </c>
      <c r="E109" s="142">
        <v>9900000000</v>
      </c>
      <c r="F109" s="144"/>
      <c r="G109" s="137">
        <f>G110+G112</f>
        <v>11359431.42</v>
      </c>
      <c r="H109" s="137">
        <f>H110+H112</f>
        <v>5505372.87</v>
      </c>
      <c r="I109" s="137">
        <f>I110+I112</f>
        <v>5505372.87</v>
      </c>
      <c r="J109" s="10"/>
      <c r="K109" s="2"/>
      <c r="L109" s="2"/>
      <c r="M109" s="2"/>
      <c r="N109" s="2"/>
    </row>
    <row r="110" spans="1:14" ht="30.75" customHeight="1">
      <c r="A110" s="71" t="s">
        <v>388</v>
      </c>
      <c r="B110" s="164" t="s">
        <v>503</v>
      </c>
      <c r="C110" s="143" t="s">
        <v>397</v>
      </c>
      <c r="D110" s="143" t="s">
        <v>428</v>
      </c>
      <c r="E110" s="161">
        <v>9910000000</v>
      </c>
      <c r="F110" s="144"/>
      <c r="G110" s="137">
        <f>G111</f>
        <v>4859431.42</v>
      </c>
      <c r="H110" s="137">
        <f>H111</f>
        <v>5505372.87</v>
      </c>
      <c r="I110" s="137">
        <f>I111</f>
        <v>5505372.87</v>
      </c>
      <c r="J110" s="10"/>
      <c r="K110" s="2"/>
      <c r="L110" s="2"/>
      <c r="M110" s="2"/>
      <c r="N110" s="2"/>
    </row>
    <row r="111" spans="1:14" ht="75.75" customHeight="1">
      <c r="A111" s="71" t="s">
        <v>264</v>
      </c>
      <c r="B111" s="164" t="s">
        <v>503</v>
      </c>
      <c r="C111" s="143" t="s">
        <v>397</v>
      </c>
      <c r="D111" s="143" t="s">
        <v>428</v>
      </c>
      <c r="E111" s="161">
        <v>9910000000</v>
      </c>
      <c r="F111" s="163" t="s">
        <v>299</v>
      </c>
      <c r="G111" s="137">
        <v>4859431.42</v>
      </c>
      <c r="H111" s="137">
        <v>5505372.87</v>
      </c>
      <c r="I111" s="137">
        <v>5505372.87</v>
      </c>
      <c r="J111" s="10"/>
      <c r="K111" s="2"/>
      <c r="L111" s="2"/>
      <c r="M111" s="2"/>
      <c r="N111" s="2"/>
    </row>
    <row r="112" spans="1:14" ht="16.5" customHeight="1">
      <c r="A112" s="71" t="s">
        <v>406</v>
      </c>
      <c r="B112" s="164" t="s">
        <v>503</v>
      </c>
      <c r="C112" s="143" t="s">
        <v>397</v>
      </c>
      <c r="D112" s="143" t="s">
        <v>428</v>
      </c>
      <c r="E112" s="143" t="s">
        <v>407</v>
      </c>
      <c r="F112" s="144"/>
      <c r="G112" s="137">
        <f>G113</f>
        <v>6500000</v>
      </c>
      <c r="H112" s="137">
        <f>H113</f>
        <v>0</v>
      </c>
      <c r="I112" s="137">
        <f>I113</f>
        <v>0</v>
      </c>
      <c r="J112" s="10"/>
      <c r="K112" s="2"/>
      <c r="L112" s="2"/>
      <c r="M112" s="2"/>
      <c r="N112" s="2"/>
    </row>
    <row r="113" spans="1:14" ht="16.5" customHeight="1">
      <c r="A113" s="71" t="s">
        <v>267</v>
      </c>
      <c r="B113" s="164" t="s">
        <v>503</v>
      </c>
      <c r="C113" s="143" t="s">
        <v>397</v>
      </c>
      <c r="D113" s="143" t="s">
        <v>428</v>
      </c>
      <c r="E113" s="143" t="s">
        <v>407</v>
      </c>
      <c r="F113" s="146">
        <v>800</v>
      </c>
      <c r="G113" s="137">
        <v>6500000</v>
      </c>
      <c r="H113" s="137">
        <v>0</v>
      </c>
      <c r="I113" s="137">
        <v>0</v>
      </c>
      <c r="J113" s="10"/>
      <c r="K113" s="2"/>
      <c r="L113" s="2"/>
      <c r="M113" s="2"/>
      <c r="N113" s="2"/>
    </row>
    <row r="114" spans="1:14" ht="18" customHeight="1">
      <c r="A114" s="87" t="s">
        <v>476</v>
      </c>
      <c r="B114" s="164" t="s">
        <v>503</v>
      </c>
      <c r="C114" s="134" t="s">
        <v>397</v>
      </c>
      <c r="D114" s="134" t="s">
        <v>445</v>
      </c>
      <c r="E114" s="132"/>
      <c r="F114" s="132"/>
      <c r="G114" s="135">
        <f>G115</f>
        <v>16872000</v>
      </c>
      <c r="H114" s="135">
        <f>H115</f>
        <v>17150000</v>
      </c>
      <c r="I114" s="135">
        <f>I115</f>
        <v>17150000</v>
      </c>
      <c r="J114" s="10"/>
      <c r="K114" s="2"/>
      <c r="L114" s="2"/>
      <c r="M114" s="2"/>
      <c r="N114" s="2"/>
    </row>
    <row r="115" spans="1:14" ht="34.5" customHeight="1">
      <c r="A115" s="87" t="s">
        <v>311</v>
      </c>
      <c r="B115" s="164" t="s">
        <v>503</v>
      </c>
      <c r="C115" s="134" t="s">
        <v>397</v>
      </c>
      <c r="D115" s="134" t="s">
        <v>445</v>
      </c>
      <c r="E115" s="164" t="s">
        <v>312</v>
      </c>
      <c r="F115" s="132"/>
      <c r="G115" s="135">
        <f>G116+G118</f>
        <v>16872000</v>
      </c>
      <c r="H115" s="135">
        <f>H116+H118</f>
        <v>17150000</v>
      </c>
      <c r="I115" s="135">
        <f>I116+I118</f>
        <v>17150000</v>
      </c>
      <c r="J115" s="10"/>
      <c r="K115" s="2"/>
      <c r="L115" s="2"/>
      <c r="M115" s="2"/>
      <c r="N115" s="2"/>
    </row>
    <row r="116" spans="1:14" ht="16.5" customHeight="1">
      <c r="A116" s="71" t="s">
        <v>313</v>
      </c>
      <c r="B116" s="164" t="s">
        <v>503</v>
      </c>
      <c r="C116" s="143" t="s">
        <v>397</v>
      </c>
      <c r="D116" s="143" t="s">
        <v>445</v>
      </c>
      <c r="E116" s="163" t="s">
        <v>314</v>
      </c>
      <c r="F116" s="144"/>
      <c r="G116" s="137">
        <f>G117</f>
        <v>2000000</v>
      </c>
      <c r="H116" s="137">
        <f>H117</f>
        <v>4000000</v>
      </c>
      <c r="I116" s="137">
        <f>I117</f>
        <v>4000000</v>
      </c>
      <c r="J116" s="10"/>
      <c r="K116" s="2"/>
      <c r="L116" s="2"/>
      <c r="M116" s="2"/>
      <c r="N116" s="2"/>
    </row>
    <row r="117" spans="1:14" ht="30.75" customHeight="1">
      <c r="A117" s="71" t="s">
        <v>265</v>
      </c>
      <c r="B117" s="164" t="s">
        <v>503</v>
      </c>
      <c r="C117" s="143" t="s">
        <v>397</v>
      </c>
      <c r="D117" s="143" t="s">
        <v>445</v>
      </c>
      <c r="E117" s="163" t="s">
        <v>314</v>
      </c>
      <c r="F117" s="146">
        <v>800</v>
      </c>
      <c r="G117" s="137">
        <v>2000000</v>
      </c>
      <c r="H117" s="137">
        <v>4000000</v>
      </c>
      <c r="I117" s="137">
        <v>4000000</v>
      </c>
      <c r="J117" s="10"/>
      <c r="K117" s="2"/>
      <c r="L117" s="2"/>
      <c r="M117" s="2"/>
      <c r="N117" s="2"/>
    </row>
    <row r="118" spans="1:14" ht="21" customHeight="1">
      <c r="A118" s="71" t="s">
        <v>315</v>
      </c>
      <c r="B118" s="164" t="s">
        <v>503</v>
      </c>
      <c r="C118" s="143" t="s">
        <v>397</v>
      </c>
      <c r="D118" s="143" t="s">
        <v>445</v>
      </c>
      <c r="E118" s="163" t="s">
        <v>316</v>
      </c>
      <c r="F118" s="144"/>
      <c r="G118" s="137">
        <f>G119+G120</f>
        <v>14872000</v>
      </c>
      <c r="H118" s="137">
        <f>H119+H120</f>
        <v>13150000</v>
      </c>
      <c r="I118" s="137">
        <f>I119+I120</f>
        <v>13150000</v>
      </c>
      <c r="J118" s="10"/>
      <c r="K118" s="2"/>
      <c r="L118" s="2"/>
      <c r="M118" s="2"/>
      <c r="N118" s="2"/>
    </row>
    <row r="119" spans="1:14" ht="31.5" customHeight="1">
      <c r="A119" s="71" t="s">
        <v>265</v>
      </c>
      <c r="B119" s="164" t="s">
        <v>503</v>
      </c>
      <c r="C119" s="143" t="s">
        <v>397</v>
      </c>
      <c r="D119" s="143" t="s">
        <v>445</v>
      </c>
      <c r="E119" s="163" t="s">
        <v>316</v>
      </c>
      <c r="F119" s="146">
        <v>200</v>
      </c>
      <c r="G119" s="137">
        <v>0</v>
      </c>
      <c r="H119" s="137">
        <v>150000</v>
      </c>
      <c r="I119" s="137">
        <v>150000</v>
      </c>
      <c r="J119" s="10"/>
      <c r="K119" s="2"/>
      <c r="L119" s="2"/>
      <c r="M119" s="2"/>
      <c r="N119" s="2"/>
    </row>
    <row r="120" spans="1:14" ht="15.75" customHeight="1">
      <c r="A120" s="71" t="s">
        <v>267</v>
      </c>
      <c r="B120" s="164" t="s">
        <v>503</v>
      </c>
      <c r="C120" s="143" t="s">
        <v>397</v>
      </c>
      <c r="D120" s="143" t="s">
        <v>445</v>
      </c>
      <c r="E120" s="163" t="s">
        <v>316</v>
      </c>
      <c r="F120" s="146">
        <v>800</v>
      </c>
      <c r="G120" s="137">
        <v>14872000</v>
      </c>
      <c r="H120" s="137">
        <v>13000000</v>
      </c>
      <c r="I120" s="137">
        <v>13000000</v>
      </c>
      <c r="J120" s="10"/>
      <c r="K120" s="2"/>
      <c r="L120" s="2"/>
      <c r="M120" s="2"/>
      <c r="N120" s="2"/>
    </row>
    <row r="121" spans="1:14" ht="18" customHeight="1">
      <c r="A121" s="87" t="s">
        <v>477</v>
      </c>
      <c r="B121" s="164" t="s">
        <v>503</v>
      </c>
      <c r="C121" s="134" t="s">
        <v>397</v>
      </c>
      <c r="D121" s="134" t="s">
        <v>443</v>
      </c>
      <c r="E121" s="132"/>
      <c r="F121" s="132"/>
      <c r="G121" s="135">
        <f>G122</f>
        <v>36278786.35</v>
      </c>
      <c r="H121" s="135">
        <f>H122</f>
        <v>15605435.5</v>
      </c>
      <c r="I121" s="135">
        <f>I122</f>
        <v>15605435.5</v>
      </c>
      <c r="J121" s="10"/>
      <c r="K121" s="2"/>
      <c r="L121" s="2"/>
      <c r="M121" s="2"/>
      <c r="N121" s="2"/>
    </row>
    <row r="122" spans="1:14" ht="30.75" customHeight="1">
      <c r="A122" s="87" t="s">
        <v>311</v>
      </c>
      <c r="B122" s="164" t="s">
        <v>503</v>
      </c>
      <c r="C122" s="134" t="s">
        <v>397</v>
      </c>
      <c r="D122" s="134" t="s">
        <v>443</v>
      </c>
      <c r="E122" s="164" t="s">
        <v>312</v>
      </c>
      <c r="F122" s="132"/>
      <c r="G122" s="135">
        <f>G123</f>
        <v>36278786.35</v>
      </c>
      <c r="H122" s="135">
        <f>H123</f>
        <v>15605435.5</v>
      </c>
      <c r="I122" s="135">
        <f>I123</f>
        <v>15605435.5</v>
      </c>
      <c r="J122" s="10"/>
      <c r="K122" s="2"/>
      <c r="L122" s="2"/>
      <c r="M122" s="2"/>
      <c r="N122" s="2"/>
    </row>
    <row r="123" spans="1:14" ht="16.5" customHeight="1">
      <c r="A123" s="71" t="s">
        <v>317</v>
      </c>
      <c r="B123" s="164" t="s">
        <v>503</v>
      </c>
      <c r="C123" s="143" t="s">
        <v>397</v>
      </c>
      <c r="D123" s="143" t="s">
        <v>443</v>
      </c>
      <c r="E123" s="163" t="s">
        <v>318</v>
      </c>
      <c r="F123" s="144"/>
      <c r="G123" s="137">
        <f>G124</f>
        <v>36278786.35</v>
      </c>
      <c r="H123" s="137">
        <f>H124</f>
        <v>15605435.5</v>
      </c>
      <c r="I123" s="137">
        <f>I124</f>
        <v>15605435.5</v>
      </c>
      <c r="J123" s="10"/>
      <c r="K123" s="2"/>
      <c r="L123" s="2"/>
      <c r="M123" s="2"/>
      <c r="N123" s="2"/>
    </row>
    <row r="124" spans="1:14" ht="30.75" customHeight="1">
      <c r="A124" s="71" t="s">
        <v>265</v>
      </c>
      <c r="B124" s="164" t="s">
        <v>503</v>
      </c>
      <c r="C124" s="143" t="s">
        <v>397</v>
      </c>
      <c r="D124" s="143" t="s">
        <v>443</v>
      </c>
      <c r="E124" s="163" t="s">
        <v>318</v>
      </c>
      <c r="F124" s="146">
        <v>200</v>
      </c>
      <c r="G124" s="137">
        <v>36278786.35</v>
      </c>
      <c r="H124" s="137">
        <v>15605435.5</v>
      </c>
      <c r="I124" s="137">
        <v>15605435.5</v>
      </c>
      <c r="J124" s="10"/>
      <c r="K124" s="2"/>
      <c r="L124" s="2"/>
      <c r="M124" s="2"/>
      <c r="N124" s="2"/>
    </row>
    <row r="125" spans="1:14" ht="16.5" customHeight="1">
      <c r="A125" s="87" t="s">
        <v>430</v>
      </c>
      <c r="B125" s="164" t="s">
        <v>503</v>
      </c>
      <c r="C125" s="134" t="s">
        <v>397</v>
      </c>
      <c r="D125" s="134" t="s">
        <v>422</v>
      </c>
      <c r="E125" s="134"/>
      <c r="F125" s="144"/>
      <c r="G125" s="137">
        <f>G126</f>
        <v>14000000</v>
      </c>
      <c r="H125" s="137">
        <f>H126</f>
        <v>0</v>
      </c>
      <c r="I125" s="137">
        <f>I126</f>
        <v>0</v>
      </c>
      <c r="J125" s="10"/>
      <c r="K125" s="2"/>
      <c r="L125" s="2"/>
      <c r="M125" s="2"/>
      <c r="N125" s="2"/>
    </row>
    <row r="126" spans="1:14" ht="16.5" customHeight="1">
      <c r="A126" s="87" t="s">
        <v>386</v>
      </c>
      <c r="B126" s="164" t="s">
        <v>503</v>
      </c>
      <c r="C126" s="143" t="s">
        <v>397</v>
      </c>
      <c r="D126" s="143" t="s">
        <v>422</v>
      </c>
      <c r="E126" s="134" t="s">
        <v>387</v>
      </c>
      <c r="F126" s="144"/>
      <c r="G126" s="137">
        <f>G127</f>
        <v>14000000</v>
      </c>
      <c r="H126" s="137">
        <f>H127</f>
        <v>0</v>
      </c>
      <c r="I126" s="137">
        <f>I127</f>
        <v>0</v>
      </c>
      <c r="J126" s="10"/>
      <c r="K126" s="2"/>
      <c r="L126" s="2"/>
      <c r="M126" s="2"/>
      <c r="N126" s="2"/>
    </row>
    <row r="127" spans="1:14" ht="16.5" customHeight="1">
      <c r="A127" s="87" t="s">
        <v>406</v>
      </c>
      <c r="B127" s="164" t="s">
        <v>503</v>
      </c>
      <c r="C127" s="143" t="s">
        <v>397</v>
      </c>
      <c r="D127" s="143" t="s">
        <v>422</v>
      </c>
      <c r="E127" s="143" t="s">
        <v>407</v>
      </c>
      <c r="F127" s="144"/>
      <c r="G127" s="137">
        <f>G128</f>
        <v>14000000</v>
      </c>
      <c r="H127" s="137">
        <f>H128</f>
        <v>0</v>
      </c>
      <c r="I127" s="137">
        <f>I128</f>
        <v>0</v>
      </c>
      <c r="J127" s="10"/>
      <c r="K127" s="2"/>
      <c r="L127" s="2"/>
      <c r="M127" s="2"/>
      <c r="N127" s="2"/>
    </row>
    <row r="128" spans="1:14" ht="30.75" customHeight="1">
      <c r="A128" s="71" t="s">
        <v>265</v>
      </c>
      <c r="B128" s="164" t="s">
        <v>503</v>
      </c>
      <c r="C128" s="143" t="s">
        <v>397</v>
      </c>
      <c r="D128" s="143" t="s">
        <v>422</v>
      </c>
      <c r="E128" s="143" t="s">
        <v>407</v>
      </c>
      <c r="F128" s="146">
        <v>200</v>
      </c>
      <c r="G128" s="137">
        <v>14000000</v>
      </c>
      <c r="H128" s="137">
        <v>0</v>
      </c>
      <c r="I128" s="137">
        <v>0</v>
      </c>
      <c r="J128" s="10"/>
      <c r="K128" s="2"/>
      <c r="L128" s="2"/>
      <c r="M128" s="2"/>
      <c r="N128" s="2"/>
    </row>
    <row r="129" spans="1:14" ht="31.5" customHeight="1">
      <c r="A129" s="87" t="s">
        <v>478</v>
      </c>
      <c r="B129" s="164" t="s">
        <v>503</v>
      </c>
      <c r="C129" s="134" t="s">
        <v>397</v>
      </c>
      <c r="D129" s="134" t="s">
        <v>479</v>
      </c>
      <c r="E129" s="132"/>
      <c r="F129" s="132"/>
      <c r="G129" s="135">
        <f>G130</f>
        <v>1689500</v>
      </c>
      <c r="H129" s="135">
        <f>H130</f>
        <v>5143290</v>
      </c>
      <c r="I129" s="135">
        <f>I130</f>
        <v>0</v>
      </c>
      <c r="J129" s="10"/>
      <c r="K129" s="2"/>
      <c r="L129" s="2"/>
      <c r="M129" s="2"/>
      <c r="N129" s="2"/>
    </row>
    <row r="130" spans="1:14" ht="42.75" customHeight="1">
      <c r="A130" s="87" t="s">
        <v>291</v>
      </c>
      <c r="B130" s="164" t="s">
        <v>503</v>
      </c>
      <c r="C130" s="134" t="s">
        <v>397</v>
      </c>
      <c r="D130" s="134" t="s">
        <v>479</v>
      </c>
      <c r="E130" s="164" t="s">
        <v>292</v>
      </c>
      <c r="F130" s="132"/>
      <c r="G130" s="135">
        <f>G131</f>
        <v>1689500</v>
      </c>
      <c r="H130" s="135">
        <f>H131</f>
        <v>5143290</v>
      </c>
      <c r="I130" s="135">
        <f>I131</f>
        <v>0</v>
      </c>
      <c r="J130" s="165"/>
      <c r="K130" s="166"/>
      <c r="L130" s="166"/>
      <c r="M130" s="166"/>
      <c r="N130" s="2"/>
    </row>
    <row r="131" spans="1:14" ht="16.5" customHeight="1">
      <c r="A131" s="71" t="s">
        <v>480</v>
      </c>
      <c r="B131" s="164" t="s">
        <v>503</v>
      </c>
      <c r="C131" s="143" t="s">
        <v>397</v>
      </c>
      <c r="D131" s="143" t="s">
        <v>479</v>
      </c>
      <c r="E131" s="163" t="s">
        <v>294</v>
      </c>
      <c r="F131" s="144"/>
      <c r="G131" s="137">
        <f>G132+G133+G134</f>
        <v>1689500</v>
      </c>
      <c r="H131" s="137">
        <f>H132+H133+H134</f>
        <v>5143290</v>
      </c>
      <c r="I131" s="137">
        <f>I132+I133+I134</f>
        <v>0</v>
      </c>
      <c r="J131" s="165"/>
      <c r="K131" s="166"/>
      <c r="L131" s="166"/>
      <c r="M131" s="166"/>
      <c r="N131" s="2"/>
    </row>
    <row r="132" spans="1:14" ht="30.75" customHeight="1">
      <c r="A132" s="71" t="s">
        <v>265</v>
      </c>
      <c r="B132" s="164" t="s">
        <v>503</v>
      </c>
      <c r="C132" s="143" t="s">
        <v>397</v>
      </c>
      <c r="D132" s="143" t="s">
        <v>479</v>
      </c>
      <c r="E132" s="163" t="s">
        <v>294</v>
      </c>
      <c r="F132" s="146">
        <v>200</v>
      </c>
      <c r="G132" s="137">
        <v>0</v>
      </c>
      <c r="H132" s="137">
        <v>483290</v>
      </c>
      <c r="I132" s="137">
        <v>0</v>
      </c>
      <c r="J132" s="165"/>
      <c r="K132" s="166"/>
      <c r="L132" s="166"/>
      <c r="M132" s="166"/>
      <c r="N132" s="2"/>
    </row>
    <row r="133" spans="1:14" ht="21.75" customHeight="1">
      <c r="A133" s="71" t="s">
        <v>266</v>
      </c>
      <c r="B133" s="164" t="s">
        <v>503</v>
      </c>
      <c r="C133" s="143" t="s">
        <v>397</v>
      </c>
      <c r="D133" s="143" t="s">
        <v>479</v>
      </c>
      <c r="E133" s="163" t="s">
        <v>294</v>
      </c>
      <c r="F133" s="146">
        <v>300</v>
      </c>
      <c r="G133" s="137">
        <v>0</v>
      </c>
      <c r="H133" s="137">
        <v>60000</v>
      </c>
      <c r="I133" s="137">
        <v>0</v>
      </c>
      <c r="J133" s="165"/>
      <c r="K133" s="166"/>
      <c r="L133" s="166"/>
      <c r="M133" s="166"/>
      <c r="N133" s="2"/>
    </row>
    <row r="134" spans="1:14" ht="16.5" customHeight="1">
      <c r="A134" s="71" t="s">
        <v>267</v>
      </c>
      <c r="B134" s="164" t="s">
        <v>503</v>
      </c>
      <c r="C134" s="143" t="s">
        <v>397</v>
      </c>
      <c r="D134" s="143" t="s">
        <v>479</v>
      </c>
      <c r="E134" s="163" t="s">
        <v>294</v>
      </c>
      <c r="F134" s="146">
        <v>800</v>
      </c>
      <c r="G134" s="137">
        <v>1689500</v>
      </c>
      <c r="H134" s="137">
        <v>4600000</v>
      </c>
      <c r="I134" s="137">
        <v>0</v>
      </c>
      <c r="J134" s="165"/>
      <c r="K134" s="166"/>
      <c r="L134" s="166"/>
      <c r="M134" s="166"/>
      <c r="N134" s="2"/>
    </row>
    <row r="135" spans="1:14" ht="16.5" customHeight="1">
      <c r="A135" s="87" t="s">
        <v>431</v>
      </c>
      <c r="B135" s="164" t="s">
        <v>503</v>
      </c>
      <c r="C135" s="134" t="s">
        <v>428</v>
      </c>
      <c r="D135" s="134"/>
      <c r="E135" s="164"/>
      <c r="F135" s="132"/>
      <c r="G135" s="135">
        <f>G141+G136</f>
        <v>11632236.8</v>
      </c>
      <c r="H135" s="135">
        <f>H141+H136</f>
        <v>0</v>
      </c>
      <c r="I135" s="135">
        <f>I141+I136</f>
        <v>0</v>
      </c>
      <c r="J135" s="10"/>
      <c r="K135" s="2"/>
      <c r="L135" s="2"/>
      <c r="M135" s="2"/>
      <c r="N135" s="2"/>
    </row>
    <row r="136" spans="1:14" ht="16.5" customHeight="1">
      <c r="A136" s="87" t="s">
        <v>432</v>
      </c>
      <c r="B136" s="164" t="s">
        <v>503</v>
      </c>
      <c r="C136" s="134" t="s">
        <v>428</v>
      </c>
      <c r="D136" s="134" t="s">
        <v>383</v>
      </c>
      <c r="E136" s="134"/>
      <c r="F136" s="132"/>
      <c r="G136" s="135">
        <f>G137</f>
        <v>1821800</v>
      </c>
      <c r="H136" s="135">
        <f>H137</f>
        <v>0</v>
      </c>
      <c r="I136" s="135">
        <f>I137</f>
        <v>0</v>
      </c>
      <c r="J136" s="10"/>
      <c r="K136" s="2"/>
      <c r="L136" s="2"/>
      <c r="M136" s="2"/>
      <c r="N136" s="2"/>
    </row>
    <row r="137" spans="1:14" ht="16.5" customHeight="1">
      <c r="A137" s="87" t="s">
        <v>386</v>
      </c>
      <c r="B137" s="164" t="s">
        <v>503</v>
      </c>
      <c r="C137" s="134" t="s">
        <v>428</v>
      </c>
      <c r="D137" s="134" t="s">
        <v>383</v>
      </c>
      <c r="E137" s="134" t="s">
        <v>387</v>
      </c>
      <c r="F137" s="132"/>
      <c r="G137" s="137">
        <f>G138</f>
        <v>1821800</v>
      </c>
      <c r="H137" s="137">
        <f>H138</f>
        <v>0</v>
      </c>
      <c r="I137" s="137">
        <f>I138</f>
        <v>0</v>
      </c>
      <c r="J137" s="10"/>
      <c r="K137" s="2"/>
      <c r="L137" s="2"/>
      <c r="M137" s="2"/>
      <c r="N137" s="2"/>
    </row>
    <row r="138" spans="1:14" ht="16.5" customHeight="1">
      <c r="A138" s="71" t="s">
        <v>406</v>
      </c>
      <c r="B138" s="164" t="s">
        <v>503</v>
      </c>
      <c r="C138" s="143" t="s">
        <v>428</v>
      </c>
      <c r="D138" s="143" t="s">
        <v>383</v>
      </c>
      <c r="E138" s="143" t="s">
        <v>407</v>
      </c>
      <c r="F138" s="144"/>
      <c r="G138" s="137">
        <f>G139+G140</f>
        <v>1821800</v>
      </c>
      <c r="H138" s="137">
        <f>H139+H140</f>
        <v>0</v>
      </c>
      <c r="I138" s="137">
        <f>I139+I140</f>
        <v>0</v>
      </c>
      <c r="J138" s="10"/>
      <c r="K138" s="2"/>
      <c r="L138" s="2"/>
      <c r="M138" s="2"/>
      <c r="N138" s="2"/>
    </row>
    <row r="139" spans="1:14" ht="30.75" customHeight="1">
      <c r="A139" s="71" t="s">
        <v>265</v>
      </c>
      <c r="B139" s="164" t="s">
        <v>503</v>
      </c>
      <c r="C139" s="143" t="s">
        <v>428</v>
      </c>
      <c r="D139" s="143" t="s">
        <v>383</v>
      </c>
      <c r="E139" s="143" t="s">
        <v>407</v>
      </c>
      <c r="F139" s="146">
        <v>200</v>
      </c>
      <c r="G139" s="137">
        <v>0</v>
      </c>
      <c r="H139" s="137">
        <v>0</v>
      </c>
      <c r="I139" s="137">
        <v>0</v>
      </c>
      <c r="J139" s="10"/>
      <c r="K139" s="2"/>
      <c r="L139" s="2"/>
      <c r="M139" s="2"/>
      <c r="N139" s="2"/>
    </row>
    <row r="140" spans="1:14" ht="30.75" customHeight="1">
      <c r="A140" s="71" t="s">
        <v>274</v>
      </c>
      <c r="B140" s="164" t="s">
        <v>503</v>
      </c>
      <c r="C140" s="143" t="s">
        <v>428</v>
      </c>
      <c r="D140" s="143" t="s">
        <v>383</v>
      </c>
      <c r="E140" s="143" t="s">
        <v>407</v>
      </c>
      <c r="F140" s="146">
        <v>600</v>
      </c>
      <c r="G140" s="137">
        <v>1821800</v>
      </c>
      <c r="H140" s="137">
        <v>0</v>
      </c>
      <c r="I140" s="137">
        <v>0</v>
      </c>
      <c r="J140" s="10"/>
      <c r="K140" s="2"/>
      <c r="L140" s="2"/>
      <c r="M140" s="2"/>
      <c r="N140" s="2"/>
    </row>
    <row r="141" spans="1:14" ht="16.5" customHeight="1">
      <c r="A141" s="87" t="s">
        <v>435</v>
      </c>
      <c r="B141" s="164" t="s">
        <v>503</v>
      </c>
      <c r="C141" s="134" t="s">
        <v>428</v>
      </c>
      <c r="D141" s="134" t="s">
        <v>393</v>
      </c>
      <c r="E141" s="164"/>
      <c r="F141" s="132"/>
      <c r="G141" s="135">
        <f>G142</f>
        <v>9810436.8</v>
      </c>
      <c r="H141" s="135">
        <f>H142</f>
        <v>0</v>
      </c>
      <c r="I141" s="135">
        <f>I142</f>
        <v>0</v>
      </c>
      <c r="J141" s="10"/>
      <c r="K141" s="2"/>
      <c r="L141" s="2"/>
      <c r="M141" s="2"/>
      <c r="N141" s="2"/>
    </row>
    <row r="142" spans="1:14" ht="16.5" customHeight="1">
      <c r="A142" s="87" t="s">
        <v>386</v>
      </c>
      <c r="B142" s="164" t="s">
        <v>503</v>
      </c>
      <c r="C142" s="134" t="s">
        <v>428</v>
      </c>
      <c r="D142" s="134" t="s">
        <v>393</v>
      </c>
      <c r="E142" s="164" t="s">
        <v>387</v>
      </c>
      <c r="F142" s="132"/>
      <c r="G142" s="135">
        <f>G143</f>
        <v>9810436.8</v>
      </c>
      <c r="H142" s="135">
        <f>H143</f>
        <v>0</v>
      </c>
      <c r="I142" s="135">
        <f>I143</f>
        <v>0</v>
      </c>
      <c r="J142" s="10"/>
      <c r="K142" s="2"/>
      <c r="L142" s="2"/>
      <c r="M142" s="2"/>
      <c r="N142" s="2"/>
    </row>
    <row r="143" spans="1:14" ht="16.5" customHeight="1">
      <c r="A143" s="71" t="s">
        <v>406</v>
      </c>
      <c r="B143" s="164" t="s">
        <v>503</v>
      </c>
      <c r="C143" s="143" t="s">
        <v>428</v>
      </c>
      <c r="D143" s="143" t="s">
        <v>393</v>
      </c>
      <c r="E143" s="163" t="s">
        <v>407</v>
      </c>
      <c r="F143" s="144"/>
      <c r="G143" s="137">
        <f>G144</f>
        <v>9810436.8</v>
      </c>
      <c r="H143" s="137">
        <f>H144</f>
        <v>0</v>
      </c>
      <c r="I143" s="137">
        <f>I144</f>
        <v>0</v>
      </c>
      <c r="J143" s="165"/>
      <c r="K143" s="166"/>
      <c r="L143" s="166"/>
      <c r="M143" s="166"/>
      <c r="N143" s="2"/>
    </row>
    <row r="144" spans="1:14" ht="30.75" customHeight="1">
      <c r="A144" s="71" t="s">
        <v>290</v>
      </c>
      <c r="B144" s="164" t="s">
        <v>503</v>
      </c>
      <c r="C144" s="143" t="s">
        <v>428</v>
      </c>
      <c r="D144" s="143" t="s">
        <v>393</v>
      </c>
      <c r="E144" s="163" t="s">
        <v>407</v>
      </c>
      <c r="F144" s="146">
        <v>400</v>
      </c>
      <c r="G144" s="137">
        <f>приложение4!F143</f>
        <v>9810436.8</v>
      </c>
      <c r="H144" s="137">
        <f>приложение4!G143</f>
        <v>0</v>
      </c>
      <c r="I144" s="137">
        <f>приложение4!H143</f>
        <v>0</v>
      </c>
      <c r="J144" s="165"/>
      <c r="K144" s="166"/>
      <c r="L144" s="166"/>
      <c r="M144" s="166"/>
      <c r="N144" s="2"/>
    </row>
    <row r="145" spans="1:14" ht="16.5" customHeight="1">
      <c r="A145" s="87" t="s">
        <v>481</v>
      </c>
      <c r="B145" s="164" t="s">
        <v>503</v>
      </c>
      <c r="C145" s="134" t="s">
        <v>401</v>
      </c>
      <c r="D145" s="134"/>
      <c r="E145" s="132"/>
      <c r="F145" s="132"/>
      <c r="G145" s="135">
        <f>G146</f>
        <v>2002606.4</v>
      </c>
      <c r="H145" s="135">
        <f>H146</f>
        <v>5956631</v>
      </c>
      <c r="I145" s="135">
        <f>I146</f>
        <v>6280536</v>
      </c>
      <c r="J145" s="10"/>
      <c r="K145" s="2"/>
      <c r="L145" s="2"/>
      <c r="M145" s="2"/>
      <c r="N145" s="2"/>
    </row>
    <row r="146" spans="1:14" ht="31.5" customHeight="1">
      <c r="A146" s="87" t="s">
        <v>482</v>
      </c>
      <c r="B146" s="164" t="s">
        <v>503</v>
      </c>
      <c r="C146" s="134" t="s">
        <v>401</v>
      </c>
      <c r="D146" s="134" t="s">
        <v>393</v>
      </c>
      <c r="E146" s="164"/>
      <c r="F146" s="132"/>
      <c r="G146" s="135">
        <f>G147</f>
        <v>2002606.4</v>
      </c>
      <c r="H146" s="135">
        <f>H147</f>
        <v>5956631</v>
      </c>
      <c r="I146" s="135">
        <f>I147</f>
        <v>6280536</v>
      </c>
      <c r="J146" s="10"/>
      <c r="K146" s="2"/>
      <c r="L146" s="2"/>
      <c r="M146" s="2"/>
      <c r="N146" s="2"/>
    </row>
    <row r="147" spans="1:14" ht="31.5" customHeight="1">
      <c r="A147" s="87" t="s">
        <v>483</v>
      </c>
      <c r="B147" s="164" t="s">
        <v>503</v>
      </c>
      <c r="C147" s="134" t="s">
        <v>401</v>
      </c>
      <c r="D147" s="134" t="s">
        <v>393</v>
      </c>
      <c r="E147" s="142">
        <v>2900000000</v>
      </c>
      <c r="F147" s="167"/>
      <c r="G147" s="135">
        <f>G148+G150+G152</f>
        <v>2002606.4</v>
      </c>
      <c r="H147" s="135">
        <f>H148+H150+H152</f>
        <v>5956631</v>
      </c>
      <c r="I147" s="135">
        <f>I148+I150+I152</f>
        <v>6280536</v>
      </c>
      <c r="J147" s="10"/>
      <c r="K147" s="2"/>
      <c r="L147" s="2"/>
      <c r="M147" s="2"/>
      <c r="N147" s="2"/>
    </row>
    <row r="148" spans="1:14" ht="30.75" customHeight="1">
      <c r="A148" s="71" t="s">
        <v>369</v>
      </c>
      <c r="B148" s="164" t="s">
        <v>503</v>
      </c>
      <c r="C148" s="143" t="s">
        <v>401</v>
      </c>
      <c r="D148" s="143" t="s">
        <v>393</v>
      </c>
      <c r="E148" s="161">
        <v>2930000000</v>
      </c>
      <c r="F148" s="168"/>
      <c r="G148" s="137">
        <f>SUM(G149:G149)</f>
        <v>1683528</v>
      </c>
      <c r="H148" s="137">
        <f>SUM(H149:H149)</f>
        <v>3394476</v>
      </c>
      <c r="I148" s="137">
        <f>SUM(I149:I149)</f>
        <v>3391176</v>
      </c>
      <c r="J148" s="10"/>
      <c r="K148" s="2"/>
      <c r="L148" s="2"/>
      <c r="M148" s="2"/>
      <c r="N148" s="2"/>
    </row>
    <row r="149" spans="1:14" ht="30.75" customHeight="1">
      <c r="A149" s="71" t="s">
        <v>265</v>
      </c>
      <c r="B149" s="164" t="s">
        <v>503</v>
      </c>
      <c r="C149" s="143" t="s">
        <v>401</v>
      </c>
      <c r="D149" s="143" t="s">
        <v>393</v>
      </c>
      <c r="E149" s="161">
        <v>2930000000</v>
      </c>
      <c r="F149" s="169">
        <v>200</v>
      </c>
      <c r="G149" s="137">
        <v>1683528</v>
      </c>
      <c r="H149" s="137">
        <v>3394476</v>
      </c>
      <c r="I149" s="137">
        <v>3391176</v>
      </c>
      <c r="J149" s="10"/>
      <c r="K149" s="2"/>
      <c r="L149" s="2"/>
      <c r="M149" s="2"/>
      <c r="N149" s="2"/>
    </row>
    <row r="150" spans="1:14" ht="30.75" customHeight="1">
      <c r="A150" s="71" t="s">
        <v>370</v>
      </c>
      <c r="B150" s="164" t="s">
        <v>503</v>
      </c>
      <c r="C150" s="143" t="s">
        <v>401</v>
      </c>
      <c r="D150" s="143" t="s">
        <v>393</v>
      </c>
      <c r="E150" s="161">
        <v>2940000000</v>
      </c>
      <c r="F150" s="168"/>
      <c r="G150" s="137">
        <f>G151</f>
        <v>0</v>
      </c>
      <c r="H150" s="137">
        <f>H151</f>
        <v>2294150</v>
      </c>
      <c r="I150" s="137">
        <f>I151</f>
        <v>2292400</v>
      </c>
      <c r="J150" s="10"/>
      <c r="K150" s="2"/>
      <c r="L150" s="2"/>
      <c r="M150" s="2"/>
      <c r="N150" s="2"/>
    </row>
    <row r="151" spans="1:14" ht="30.75" customHeight="1">
      <c r="A151" s="71" t="s">
        <v>265</v>
      </c>
      <c r="B151" s="164" t="s">
        <v>503</v>
      </c>
      <c r="C151" s="143" t="s">
        <v>401</v>
      </c>
      <c r="D151" s="143" t="s">
        <v>393</v>
      </c>
      <c r="E151" s="161">
        <v>2940000000</v>
      </c>
      <c r="F151" s="161">
        <v>200</v>
      </c>
      <c r="G151" s="137">
        <v>0</v>
      </c>
      <c r="H151" s="137">
        <v>2294150</v>
      </c>
      <c r="I151" s="137">
        <v>2292400</v>
      </c>
      <c r="J151" s="10"/>
      <c r="K151" s="2"/>
      <c r="L151" s="2"/>
      <c r="M151" s="2"/>
      <c r="N151" s="2"/>
    </row>
    <row r="152" spans="1:14" ht="30.75" customHeight="1">
      <c r="A152" s="71" t="s">
        <v>371</v>
      </c>
      <c r="B152" s="164" t="s">
        <v>503</v>
      </c>
      <c r="C152" s="143" t="s">
        <v>401</v>
      </c>
      <c r="D152" s="143" t="s">
        <v>393</v>
      </c>
      <c r="E152" s="161">
        <v>2970000000</v>
      </c>
      <c r="F152" s="162"/>
      <c r="G152" s="137">
        <f>G153</f>
        <v>319078.4</v>
      </c>
      <c r="H152" s="137">
        <f>H153</f>
        <v>268005</v>
      </c>
      <c r="I152" s="137">
        <f>I153</f>
        <v>596960</v>
      </c>
      <c r="J152" s="10"/>
      <c r="K152" s="2"/>
      <c r="L152" s="2"/>
      <c r="M152" s="2"/>
      <c r="N152" s="2"/>
    </row>
    <row r="153" spans="1:14" ht="30.75" customHeight="1">
      <c r="A153" s="71" t="s">
        <v>265</v>
      </c>
      <c r="B153" s="164" t="s">
        <v>503</v>
      </c>
      <c r="C153" s="143" t="s">
        <v>401</v>
      </c>
      <c r="D153" s="143" t="s">
        <v>393</v>
      </c>
      <c r="E153" s="161">
        <v>2970000000</v>
      </c>
      <c r="F153" s="161">
        <v>200</v>
      </c>
      <c r="G153" s="137">
        <v>319078.4</v>
      </c>
      <c r="H153" s="137">
        <v>268005</v>
      </c>
      <c r="I153" s="137">
        <v>596960</v>
      </c>
      <c r="J153" s="10"/>
      <c r="K153" s="2"/>
      <c r="L153" s="2"/>
      <c r="M153" s="2"/>
      <c r="N153" s="2"/>
    </row>
    <row r="154" spans="1:14" ht="16.5" customHeight="1">
      <c r="A154" s="87" t="s">
        <v>438</v>
      </c>
      <c r="B154" s="164" t="s">
        <v>503</v>
      </c>
      <c r="C154" s="134" t="s">
        <v>405</v>
      </c>
      <c r="D154" s="134"/>
      <c r="E154" s="132"/>
      <c r="F154" s="132"/>
      <c r="G154" s="135">
        <f>G155+G165+G198+G221+G181</f>
        <v>1457705738.06</v>
      </c>
      <c r="H154" s="135">
        <f>H155+H165+H198+H221+H181</f>
        <v>1235556655.78</v>
      </c>
      <c r="I154" s="135">
        <f>I155+I165+I198+I221+I181</f>
        <v>1161668415.7116</v>
      </c>
      <c r="J154" s="10"/>
      <c r="K154" s="2"/>
      <c r="L154" s="2"/>
      <c r="M154" s="2"/>
      <c r="N154" s="2"/>
    </row>
    <row r="155" spans="1:14" ht="16.5" customHeight="1">
      <c r="A155" s="87" t="s">
        <v>439</v>
      </c>
      <c r="B155" s="164" t="s">
        <v>503</v>
      </c>
      <c r="C155" s="134" t="s">
        <v>405</v>
      </c>
      <c r="D155" s="134" t="s">
        <v>383</v>
      </c>
      <c r="E155" s="132"/>
      <c r="F155" s="132"/>
      <c r="G155" s="135">
        <f>G156+G162</f>
        <v>365056617.77</v>
      </c>
      <c r="H155" s="135">
        <f>H156+H162</f>
        <v>399056216.47</v>
      </c>
      <c r="I155" s="135">
        <f>I156+I162</f>
        <v>402132684.19</v>
      </c>
      <c r="J155" s="10"/>
      <c r="K155" s="2"/>
      <c r="L155" s="2"/>
      <c r="M155" s="2"/>
      <c r="N155" s="2"/>
    </row>
    <row r="156" spans="1:14" ht="16.5" customHeight="1">
      <c r="A156" s="87" t="s">
        <v>260</v>
      </c>
      <c r="B156" s="164" t="s">
        <v>503</v>
      </c>
      <c r="C156" s="134" t="s">
        <v>405</v>
      </c>
      <c r="D156" s="134" t="s">
        <v>383</v>
      </c>
      <c r="E156" s="164" t="s">
        <v>261</v>
      </c>
      <c r="F156" s="132"/>
      <c r="G156" s="135">
        <f>G157</f>
        <v>348164812.64</v>
      </c>
      <c r="H156" s="135">
        <f>H157</f>
        <v>399056216.47</v>
      </c>
      <c r="I156" s="135">
        <f>I157</f>
        <v>402132684.19</v>
      </c>
      <c r="J156" s="10"/>
      <c r="K156" s="2"/>
      <c r="L156" s="2"/>
      <c r="M156" s="2"/>
      <c r="N156" s="2"/>
    </row>
    <row r="157" spans="1:14" ht="16.5" customHeight="1">
      <c r="A157" s="170" t="s">
        <v>270</v>
      </c>
      <c r="B157" s="164" t="s">
        <v>503</v>
      </c>
      <c r="C157" s="143" t="s">
        <v>405</v>
      </c>
      <c r="D157" s="143" t="s">
        <v>383</v>
      </c>
      <c r="E157" s="163" t="s">
        <v>271</v>
      </c>
      <c r="F157" s="144"/>
      <c r="G157" s="137">
        <f>SUM(G158:G161)</f>
        <v>348164812.64</v>
      </c>
      <c r="H157" s="137">
        <f>SUM(H158:H161)</f>
        <v>399056216.47</v>
      </c>
      <c r="I157" s="137">
        <f>SUM(I158:I161)</f>
        <v>402132684.19</v>
      </c>
      <c r="J157" s="10"/>
      <c r="K157" s="2"/>
      <c r="L157" s="2"/>
      <c r="M157" s="2"/>
      <c r="N157" s="2"/>
    </row>
    <row r="158" spans="1:14" ht="75.75" customHeight="1">
      <c r="A158" s="71" t="s">
        <v>264</v>
      </c>
      <c r="B158" s="164" t="s">
        <v>503</v>
      </c>
      <c r="C158" s="143" t="s">
        <v>405</v>
      </c>
      <c r="D158" s="143" t="s">
        <v>383</v>
      </c>
      <c r="E158" s="163" t="s">
        <v>271</v>
      </c>
      <c r="F158" s="146">
        <v>100</v>
      </c>
      <c r="G158" s="137">
        <v>179371730.03</v>
      </c>
      <c r="H158" s="137">
        <v>196161391</v>
      </c>
      <c r="I158" s="137">
        <v>196058982</v>
      </c>
      <c r="J158" s="10"/>
      <c r="K158" s="2"/>
      <c r="L158" s="2"/>
      <c r="M158" s="2"/>
      <c r="N158" s="2"/>
    </row>
    <row r="159" spans="1:14" ht="30.75" customHeight="1">
      <c r="A159" s="71" t="s">
        <v>265</v>
      </c>
      <c r="B159" s="164" t="s">
        <v>503</v>
      </c>
      <c r="C159" s="143" t="s">
        <v>405</v>
      </c>
      <c r="D159" s="143" t="s">
        <v>383</v>
      </c>
      <c r="E159" s="163" t="s">
        <v>271</v>
      </c>
      <c r="F159" s="146">
        <v>200</v>
      </c>
      <c r="G159" s="137">
        <v>158707615.71</v>
      </c>
      <c r="H159" s="137">
        <v>194014643.47</v>
      </c>
      <c r="I159" s="137">
        <v>197231422.19</v>
      </c>
      <c r="J159" s="10"/>
      <c r="K159" s="2"/>
      <c r="L159" s="2"/>
      <c r="M159" s="2"/>
      <c r="N159" s="2"/>
    </row>
    <row r="160" spans="1:14" ht="16.5" customHeight="1">
      <c r="A160" s="71" t="s">
        <v>266</v>
      </c>
      <c r="B160" s="164" t="s">
        <v>503</v>
      </c>
      <c r="C160" s="143" t="s">
        <v>405</v>
      </c>
      <c r="D160" s="143" t="s">
        <v>383</v>
      </c>
      <c r="E160" s="163" t="s">
        <v>271</v>
      </c>
      <c r="F160" s="146">
        <v>300</v>
      </c>
      <c r="G160" s="137">
        <v>1220333.23</v>
      </c>
      <c r="H160" s="137">
        <v>0</v>
      </c>
      <c r="I160" s="137">
        <v>0</v>
      </c>
      <c r="J160" s="10"/>
      <c r="K160" s="2"/>
      <c r="L160" s="2"/>
      <c r="M160" s="2"/>
      <c r="N160" s="2"/>
    </row>
    <row r="161" spans="1:14" ht="21" customHeight="1">
      <c r="A161" s="71" t="s">
        <v>267</v>
      </c>
      <c r="B161" s="164" t="s">
        <v>503</v>
      </c>
      <c r="C161" s="143" t="s">
        <v>405</v>
      </c>
      <c r="D161" s="143" t="s">
        <v>383</v>
      </c>
      <c r="E161" s="163" t="s">
        <v>271</v>
      </c>
      <c r="F161" s="146">
        <v>800</v>
      </c>
      <c r="G161" s="137">
        <v>8865133.67</v>
      </c>
      <c r="H161" s="137">
        <v>8880182</v>
      </c>
      <c r="I161" s="137">
        <v>8842280</v>
      </c>
      <c r="J161" s="10"/>
      <c r="K161" s="2"/>
      <c r="L161" s="2"/>
      <c r="M161" s="2"/>
      <c r="N161" s="2"/>
    </row>
    <row r="162" spans="1:14" ht="21" customHeight="1">
      <c r="A162" s="87" t="s">
        <v>386</v>
      </c>
      <c r="B162" s="164" t="s">
        <v>503</v>
      </c>
      <c r="C162" s="134" t="s">
        <v>405</v>
      </c>
      <c r="D162" s="134" t="s">
        <v>383</v>
      </c>
      <c r="E162" s="134" t="s">
        <v>387</v>
      </c>
      <c r="F162" s="132"/>
      <c r="G162" s="137">
        <f>G163</f>
        <v>16891805.13</v>
      </c>
      <c r="H162" s="137">
        <f>H163</f>
        <v>0</v>
      </c>
      <c r="I162" s="137">
        <f>I163</f>
        <v>0</v>
      </c>
      <c r="J162" s="10"/>
      <c r="K162" s="2"/>
      <c r="L162" s="2"/>
      <c r="M162" s="2"/>
      <c r="N162" s="2"/>
    </row>
    <row r="163" spans="1:14" ht="21" customHeight="1">
      <c r="A163" s="87" t="s">
        <v>406</v>
      </c>
      <c r="B163" s="164" t="s">
        <v>503</v>
      </c>
      <c r="C163" s="134" t="s">
        <v>405</v>
      </c>
      <c r="D163" s="134" t="s">
        <v>383</v>
      </c>
      <c r="E163" s="134" t="s">
        <v>407</v>
      </c>
      <c r="F163" s="132"/>
      <c r="G163" s="137">
        <f>G164</f>
        <v>16891805.13</v>
      </c>
      <c r="H163" s="137">
        <f>H164</f>
        <v>0</v>
      </c>
      <c r="I163" s="137">
        <f>I164</f>
        <v>0</v>
      </c>
      <c r="J163" s="10"/>
      <c r="K163" s="2"/>
      <c r="L163" s="2"/>
      <c r="M163" s="2"/>
      <c r="N163" s="2"/>
    </row>
    <row r="164" spans="1:14" ht="30.75" customHeight="1">
      <c r="A164" s="71" t="s">
        <v>265</v>
      </c>
      <c r="B164" s="164" t="s">
        <v>503</v>
      </c>
      <c r="C164" s="143" t="s">
        <v>405</v>
      </c>
      <c r="D164" s="143" t="s">
        <v>383</v>
      </c>
      <c r="E164" s="143" t="s">
        <v>407</v>
      </c>
      <c r="F164" s="146">
        <v>200</v>
      </c>
      <c r="G164" s="137">
        <v>16891805.13</v>
      </c>
      <c r="H164" s="137">
        <v>0</v>
      </c>
      <c r="I164" s="137">
        <v>0</v>
      </c>
      <c r="J164" s="10"/>
      <c r="K164" s="2"/>
      <c r="L164" s="2"/>
      <c r="M164" s="2"/>
      <c r="N164" s="2"/>
    </row>
    <row r="165" spans="1:14" ht="16.5" customHeight="1">
      <c r="A165" s="87" t="s">
        <v>440</v>
      </c>
      <c r="B165" s="164" t="s">
        <v>503</v>
      </c>
      <c r="C165" s="134" t="s">
        <v>405</v>
      </c>
      <c r="D165" s="134" t="s">
        <v>385</v>
      </c>
      <c r="E165" s="132"/>
      <c r="F165" s="132"/>
      <c r="G165" s="135">
        <f>G166+G173+G176</f>
        <v>610262767.6</v>
      </c>
      <c r="H165" s="135">
        <f>H166+H173+H176</f>
        <v>408004097.2</v>
      </c>
      <c r="I165" s="135">
        <f>I166+I173+I176</f>
        <v>413643956.2</v>
      </c>
      <c r="J165" s="10"/>
      <c r="K165" s="2"/>
      <c r="L165" s="2"/>
      <c r="M165" s="2"/>
      <c r="N165" s="2"/>
    </row>
    <row r="166" spans="1:14" ht="16.5" customHeight="1">
      <c r="A166" s="87" t="s">
        <v>260</v>
      </c>
      <c r="B166" s="164" t="s">
        <v>503</v>
      </c>
      <c r="C166" s="134" t="s">
        <v>405</v>
      </c>
      <c r="D166" s="134" t="s">
        <v>385</v>
      </c>
      <c r="E166" s="164" t="s">
        <v>261</v>
      </c>
      <c r="F166" s="132"/>
      <c r="G166" s="135">
        <f>G167</f>
        <v>378290308.71</v>
      </c>
      <c r="H166" s="135">
        <f>H167</f>
        <v>408004097.2</v>
      </c>
      <c r="I166" s="135">
        <f>I167</f>
        <v>413643956.2</v>
      </c>
      <c r="J166" s="10"/>
      <c r="K166" s="2"/>
      <c r="L166" s="2"/>
      <c r="M166" s="2"/>
      <c r="N166" s="2"/>
    </row>
    <row r="167" spans="1:14" ht="16.5" customHeight="1">
      <c r="A167" s="71" t="s">
        <v>272</v>
      </c>
      <c r="B167" s="163" t="s">
        <v>503</v>
      </c>
      <c r="C167" s="143" t="s">
        <v>405</v>
      </c>
      <c r="D167" s="143" t="s">
        <v>385</v>
      </c>
      <c r="E167" s="163" t="s">
        <v>273</v>
      </c>
      <c r="F167" s="144"/>
      <c r="G167" s="137">
        <f>G168+G169+G172+G171+G170</f>
        <v>378290308.71</v>
      </c>
      <c r="H167" s="137">
        <f>H168+H169+H172+H171+H170</f>
        <v>408004097.2</v>
      </c>
      <c r="I167" s="137">
        <f>I168+I169+I172+I171+I170</f>
        <v>413643956.2</v>
      </c>
      <c r="J167" s="10"/>
      <c r="K167" s="2"/>
      <c r="L167" s="2"/>
      <c r="M167" s="2"/>
      <c r="N167" s="2"/>
    </row>
    <row r="168" spans="1:14" ht="75.75" customHeight="1">
      <c r="A168" s="71" t="s">
        <v>264</v>
      </c>
      <c r="B168" s="164" t="s">
        <v>503</v>
      </c>
      <c r="C168" s="143" t="s">
        <v>405</v>
      </c>
      <c r="D168" s="143" t="s">
        <v>385</v>
      </c>
      <c r="E168" s="163" t="s">
        <v>273</v>
      </c>
      <c r="F168" s="146">
        <v>100</v>
      </c>
      <c r="G168" s="145">
        <v>77448344.13</v>
      </c>
      <c r="H168" s="145">
        <v>78025761.17</v>
      </c>
      <c r="I168" s="145">
        <v>78330633.17</v>
      </c>
      <c r="J168" s="10"/>
      <c r="K168" s="2"/>
      <c r="L168" s="2"/>
      <c r="M168" s="2"/>
      <c r="N168" s="2"/>
    </row>
    <row r="169" spans="1:14" ht="30.75" customHeight="1">
      <c r="A169" s="71" t="s">
        <v>265</v>
      </c>
      <c r="B169" s="164" t="s">
        <v>503</v>
      </c>
      <c r="C169" s="143" t="s">
        <v>405</v>
      </c>
      <c r="D169" s="143" t="s">
        <v>385</v>
      </c>
      <c r="E169" s="163" t="s">
        <v>273</v>
      </c>
      <c r="F169" s="146">
        <v>200</v>
      </c>
      <c r="G169" s="145">
        <v>70112275.65</v>
      </c>
      <c r="H169" s="145">
        <v>68725519.84</v>
      </c>
      <c r="I169" s="145">
        <v>70987537.05</v>
      </c>
      <c r="J169" s="10"/>
      <c r="K169" s="2"/>
      <c r="L169" s="2"/>
      <c r="M169" s="2"/>
      <c r="N169" s="2"/>
    </row>
    <row r="170" spans="1:14" ht="16.5" customHeight="1">
      <c r="A170" s="71" t="s">
        <v>266</v>
      </c>
      <c r="B170" s="164" t="s">
        <v>503</v>
      </c>
      <c r="C170" s="143" t="s">
        <v>405</v>
      </c>
      <c r="D170" s="143" t="s">
        <v>385</v>
      </c>
      <c r="E170" s="163" t="s">
        <v>273</v>
      </c>
      <c r="F170" s="146">
        <v>300</v>
      </c>
      <c r="G170" s="145">
        <v>515432.91</v>
      </c>
      <c r="H170" s="145">
        <v>0</v>
      </c>
      <c r="I170" s="145">
        <v>0</v>
      </c>
      <c r="J170" s="10"/>
      <c r="K170" s="2"/>
      <c r="L170" s="2"/>
      <c r="M170" s="2"/>
      <c r="N170" s="2"/>
    </row>
    <row r="171" spans="1:14" ht="32.25" customHeight="1">
      <c r="A171" s="71" t="s">
        <v>274</v>
      </c>
      <c r="B171" s="164" t="s">
        <v>503</v>
      </c>
      <c r="C171" s="143" t="s">
        <v>405</v>
      </c>
      <c r="D171" s="143" t="s">
        <v>385</v>
      </c>
      <c r="E171" s="163" t="s">
        <v>273</v>
      </c>
      <c r="F171" s="146">
        <v>600</v>
      </c>
      <c r="G171" s="145">
        <v>228721080.02</v>
      </c>
      <c r="H171" s="145">
        <v>259606014.19</v>
      </c>
      <c r="I171" s="145">
        <v>262676803.98</v>
      </c>
      <c r="J171" s="10"/>
      <c r="K171" s="2"/>
      <c r="L171" s="2"/>
      <c r="M171" s="2"/>
      <c r="N171" s="2"/>
    </row>
    <row r="172" spans="1:14" ht="16.5" customHeight="1">
      <c r="A172" s="71" t="s">
        <v>267</v>
      </c>
      <c r="B172" s="164" t="s">
        <v>503</v>
      </c>
      <c r="C172" s="143" t="s">
        <v>405</v>
      </c>
      <c r="D172" s="143" t="s">
        <v>385</v>
      </c>
      <c r="E172" s="163" t="s">
        <v>273</v>
      </c>
      <c r="F172" s="146">
        <v>800</v>
      </c>
      <c r="G172" s="145">
        <v>1493176</v>
      </c>
      <c r="H172" s="145">
        <v>1646802</v>
      </c>
      <c r="I172" s="145">
        <v>1648982</v>
      </c>
      <c r="J172" s="10"/>
      <c r="K172" s="2"/>
      <c r="L172" s="2"/>
      <c r="M172" s="2"/>
      <c r="N172" s="2"/>
    </row>
    <row r="173" spans="1:14" ht="31.5" customHeight="1">
      <c r="A173" s="87" t="s">
        <v>345</v>
      </c>
      <c r="B173" s="164" t="s">
        <v>503</v>
      </c>
      <c r="C173" s="134" t="s">
        <v>405</v>
      </c>
      <c r="D173" s="134" t="s">
        <v>385</v>
      </c>
      <c r="E173" s="164" t="s">
        <v>346</v>
      </c>
      <c r="F173" s="132"/>
      <c r="G173" s="141">
        <f>G174</f>
        <v>182491969.13</v>
      </c>
      <c r="H173" s="141">
        <f>H174</f>
        <v>0</v>
      </c>
      <c r="I173" s="141">
        <f>I174</f>
        <v>0</v>
      </c>
      <c r="J173" s="10"/>
      <c r="K173" s="2"/>
      <c r="L173" s="2"/>
      <c r="M173" s="2"/>
      <c r="N173" s="2"/>
    </row>
    <row r="174" spans="1:14" ht="16.5" customHeight="1">
      <c r="A174" s="87" t="s">
        <v>348</v>
      </c>
      <c r="B174" s="164" t="s">
        <v>503</v>
      </c>
      <c r="C174" s="134" t="s">
        <v>405</v>
      </c>
      <c r="D174" s="134" t="s">
        <v>385</v>
      </c>
      <c r="E174" s="164" t="s">
        <v>349</v>
      </c>
      <c r="F174" s="132"/>
      <c r="G174" s="141">
        <f>G175</f>
        <v>182491969.13</v>
      </c>
      <c r="H174" s="141">
        <f>H175</f>
        <v>0</v>
      </c>
      <c r="I174" s="141">
        <f>I175</f>
        <v>0</v>
      </c>
      <c r="J174" s="10"/>
      <c r="K174" s="2"/>
      <c r="L174" s="2"/>
      <c r="M174" s="2"/>
      <c r="N174" s="2"/>
    </row>
    <row r="175" spans="1:14" ht="30.75" customHeight="1">
      <c r="A175" s="71" t="s">
        <v>350</v>
      </c>
      <c r="B175" s="164" t="s">
        <v>503</v>
      </c>
      <c r="C175" s="143" t="s">
        <v>405</v>
      </c>
      <c r="D175" s="143" t="s">
        <v>385</v>
      </c>
      <c r="E175" s="163" t="s">
        <v>349</v>
      </c>
      <c r="F175" s="146">
        <v>400</v>
      </c>
      <c r="G175" s="145">
        <f>приложение4!F174</f>
        <v>182491969.13</v>
      </c>
      <c r="H175" s="145">
        <f>приложение4!G174</f>
        <v>0</v>
      </c>
      <c r="I175" s="145">
        <f>приложение4!H174</f>
        <v>0</v>
      </c>
      <c r="J175" s="10"/>
      <c r="K175" s="2"/>
      <c r="L175" s="2"/>
      <c r="M175" s="2"/>
      <c r="N175" s="2"/>
    </row>
    <row r="176" spans="1:14" ht="16.5" customHeight="1">
      <c r="A176" s="87" t="s">
        <v>386</v>
      </c>
      <c r="B176" s="164" t="s">
        <v>503</v>
      </c>
      <c r="C176" s="134" t="s">
        <v>405</v>
      </c>
      <c r="D176" s="134" t="s">
        <v>385</v>
      </c>
      <c r="E176" s="134" t="s">
        <v>387</v>
      </c>
      <c r="F176" s="132"/>
      <c r="G176" s="141">
        <f>G177</f>
        <v>49480489.76</v>
      </c>
      <c r="H176" s="141">
        <f>H177</f>
        <v>0</v>
      </c>
      <c r="I176" s="141">
        <f>I177</f>
        <v>0</v>
      </c>
      <c r="J176" s="10"/>
      <c r="K176" s="2"/>
      <c r="L176" s="2"/>
      <c r="M176" s="2"/>
      <c r="N176" s="2"/>
    </row>
    <row r="177" spans="1:14" ht="16.5" customHeight="1">
      <c r="A177" s="87" t="s">
        <v>406</v>
      </c>
      <c r="B177" s="164" t="s">
        <v>503</v>
      </c>
      <c r="C177" s="134" t="s">
        <v>405</v>
      </c>
      <c r="D177" s="134" t="s">
        <v>385</v>
      </c>
      <c r="E177" s="134" t="s">
        <v>407</v>
      </c>
      <c r="F177" s="132"/>
      <c r="G177" s="141">
        <f>SUM(G178:G180)</f>
        <v>49480489.76</v>
      </c>
      <c r="H177" s="141">
        <f>SUM(H178:H180)</f>
        <v>0</v>
      </c>
      <c r="I177" s="141">
        <f>SUM(I178:I180)</f>
        <v>0</v>
      </c>
      <c r="J177" s="10"/>
      <c r="K177" s="2"/>
      <c r="L177" s="2"/>
      <c r="M177" s="2"/>
      <c r="N177" s="2"/>
    </row>
    <row r="178" spans="1:14" ht="30.75" customHeight="1">
      <c r="A178" s="71" t="s">
        <v>265</v>
      </c>
      <c r="B178" s="163" t="s">
        <v>503</v>
      </c>
      <c r="C178" s="143" t="s">
        <v>405</v>
      </c>
      <c r="D178" s="143" t="s">
        <v>385</v>
      </c>
      <c r="E178" s="143" t="s">
        <v>407</v>
      </c>
      <c r="F178" s="146">
        <v>200</v>
      </c>
      <c r="G178" s="145">
        <v>13993189.27</v>
      </c>
      <c r="H178" s="145">
        <v>0</v>
      </c>
      <c r="I178" s="145">
        <v>0</v>
      </c>
      <c r="J178" s="10"/>
      <c r="K178" s="2"/>
      <c r="L178" s="2"/>
      <c r="M178" s="2"/>
      <c r="N178" s="2"/>
    </row>
    <row r="179" spans="1:14" ht="30.75" customHeight="1">
      <c r="A179" s="71" t="s">
        <v>350</v>
      </c>
      <c r="B179" s="163" t="s">
        <v>503</v>
      </c>
      <c r="C179" s="143" t="s">
        <v>405</v>
      </c>
      <c r="D179" s="143" t="s">
        <v>385</v>
      </c>
      <c r="E179" s="143" t="s">
        <v>407</v>
      </c>
      <c r="F179" s="146">
        <v>400</v>
      </c>
      <c r="G179" s="145">
        <v>5611353.04</v>
      </c>
      <c r="H179" s="145">
        <v>0</v>
      </c>
      <c r="I179" s="145">
        <v>0</v>
      </c>
      <c r="J179" s="10"/>
      <c r="K179" s="2"/>
      <c r="L179" s="2"/>
      <c r="M179" s="2"/>
      <c r="N179" s="2"/>
    </row>
    <row r="180" spans="1:14" ht="30.75" customHeight="1">
      <c r="A180" s="71" t="s">
        <v>274</v>
      </c>
      <c r="B180" s="164" t="s">
        <v>503</v>
      </c>
      <c r="C180" s="143" t="s">
        <v>405</v>
      </c>
      <c r="D180" s="143" t="s">
        <v>385</v>
      </c>
      <c r="E180" s="143" t="s">
        <v>407</v>
      </c>
      <c r="F180" s="146">
        <v>600</v>
      </c>
      <c r="G180" s="145">
        <f>приложение4!F179</f>
        <v>29875947.45</v>
      </c>
      <c r="H180" s="145">
        <f>приложение4!G179</f>
        <v>0</v>
      </c>
      <c r="I180" s="145">
        <f>приложение4!H179</f>
        <v>0</v>
      </c>
      <c r="J180" s="10"/>
      <c r="K180" s="2"/>
      <c r="L180" s="2"/>
      <c r="M180" s="2"/>
      <c r="N180" s="2"/>
    </row>
    <row r="181" spans="1:14" ht="16.5" customHeight="1">
      <c r="A181" s="87" t="s">
        <v>441</v>
      </c>
      <c r="B181" s="164" t="s">
        <v>503</v>
      </c>
      <c r="C181" s="134" t="s">
        <v>405</v>
      </c>
      <c r="D181" s="134" t="s">
        <v>393</v>
      </c>
      <c r="E181" s="164"/>
      <c r="F181" s="132"/>
      <c r="G181" s="141">
        <f>G182+G187+G192+G195</f>
        <v>300814973.94</v>
      </c>
      <c r="H181" s="141">
        <f>H182+H187+H192</f>
        <v>256062765.29</v>
      </c>
      <c r="I181" s="141">
        <f>I182+I187+I192</f>
        <v>172333842.05</v>
      </c>
      <c r="J181" s="10"/>
      <c r="K181" s="2"/>
      <c r="L181" s="2"/>
      <c r="M181" s="2"/>
      <c r="N181" s="2"/>
    </row>
    <row r="182" spans="1:14" ht="16.5" customHeight="1">
      <c r="A182" s="87" t="s">
        <v>260</v>
      </c>
      <c r="B182" s="164" t="s">
        <v>503</v>
      </c>
      <c r="C182" s="134" t="s">
        <v>405</v>
      </c>
      <c r="D182" s="134" t="s">
        <v>393</v>
      </c>
      <c r="E182" s="164" t="s">
        <v>261</v>
      </c>
      <c r="F182" s="132"/>
      <c r="G182" s="141">
        <f>G183</f>
        <v>75618967.84</v>
      </c>
      <c r="H182" s="141">
        <f>H183</f>
        <v>74008721.72</v>
      </c>
      <c r="I182" s="141">
        <f>I183</f>
        <v>74203092.05</v>
      </c>
      <c r="J182" s="10"/>
      <c r="K182" s="2"/>
      <c r="L182" s="2"/>
      <c r="M182" s="2"/>
      <c r="N182" s="2"/>
    </row>
    <row r="183" spans="1:14" ht="16.5" customHeight="1">
      <c r="A183" s="84" t="s">
        <v>275</v>
      </c>
      <c r="B183" s="164" t="s">
        <v>503</v>
      </c>
      <c r="C183" s="134" t="s">
        <v>405</v>
      </c>
      <c r="D183" s="134" t="s">
        <v>393</v>
      </c>
      <c r="E183" s="164" t="s">
        <v>276</v>
      </c>
      <c r="F183" s="132"/>
      <c r="G183" s="135">
        <f>G184+G185+G186</f>
        <v>75618967.84</v>
      </c>
      <c r="H183" s="135">
        <f>H184+H185+H186</f>
        <v>74008721.72</v>
      </c>
      <c r="I183" s="135">
        <f>I184+I185+I186</f>
        <v>74203092.05</v>
      </c>
      <c r="J183" s="10"/>
      <c r="K183" s="2"/>
      <c r="L183" s="2"/>
      <c r="M183" s="2"/>
      <c r="N183" s="2"/>
    </row>
    <row r="184" spans="1:14" ht="75.75" customHeight="1">
      <c r="A184" s="71" t="s">
        <v>264</v>
      </c>
      <c r="B184" s="164" t="s">
        <v>503</v>
      </c>
      <c r="C184" s="143" t="s">
        <v>405</v>
      </c>
      <c r="D184" s="143" t="s">
        <v>393</v>
      </c>
      <c r="E184" s="163" t="s">
        <v>276</v>
      </c>
      <c r="F184" s="146">
        <v>100</v>
      </c>
      <c r="G184" s="137">
        <v>66852767.44</v>
      </c>
      <c r="H184" s="137">
        <v>67443264</v>
      </c>
      <c r="I184" s="137">
        <v>67443264</v>
      </c>
      <c r="J184" s="10"/>
      <c r="K184" s="2"/>
      <c r="L184" s="2"/>
      <c r="M184" s="2"/>
      <c r="N184" s="2"/>
    </row>
    <row r="185" spans="1:14" ht="30.75" customHeight="1">
      <c r="A185" s="71" t="s">
        <v>265</v>
      </c>
      <c r="B185" s="164" t="s">
        <v>503</v>
      </c>
      <c r="C185" s="143" t="s">
        <v>405</v>
      </c>
      <c r="D185" s="143" t="s">
        <v>393</v>
      </c>
      <c r="E185" s="163" t="s">
        <v>276</v>
      </c>
      <c r="F185" s="146">
        <v>200</v>
      </c>
      <c r="G185" s="137">
        <v>8505829.4</v>
      </c>
      <c r="H185" s="137">
        <v>6565457.72</v>
      </c>
      <c r="I185" s="137">
        <v>6759828.05</v>
      </c>
      <c r="J185" s="10"/>
      <c r="K185" s="2"/>
      <c r="L185" s="2"/>
      <c r="M185" s="2"/>
      <c r="N185" s="2"/>
    </row>
    <row r="186" spans="1:14" ht="16.5" customHeight="1">
      <c r="A186" s="71" t="s">
        <v>267</v>
      </c>
      <c r="B186" s="164" t="s">
        <v>503</v>
      </c>
      <c r="C186" s="143" t="s">
        <v>405</v>
      </c>
      <c r="D186" s="143" t="s">
        <v>393</v>
      </c>
      <c r="E186" s="163" t="s">
        <v>276</v>
      </c>
      <c r="F186" s="146">
        <v>800</v>
      </c>
      <c r="G186" s="137">
        <v>260371</v>
      </c>
      <c r="H186" s="137">
        <v>0</v>
      </c>
      <c r="I186" s="137">
        <v>0</v>
      </c>
      <c r="J186" s="10"/>
      <c r="K186" s="2"/>
      <c r="L186" s="2"/>
      <c r="M186" s="2"/>
      <c r="N186" s="2"/>
    </row>
    <row r="187" spans="1:14" ht="16.5" customHeight="1">
      <c r="A187" s="87" t="s">
        <v>279</v>
      </c>
      <c r="B187" s="164" t="s">
        <v>503</v>
      </c>
      <c r="C187" s="134" t="s">
        <v>405</v>
      </c>
      <c r="D187" s="134" t="s">
        <v>393</v>
      </c>
      <c r="E187" s="164" t="s">
        <v>261</v>
      </c>
      <c r="F187" s="132"/>
      <c r="G187" s="135">
        <f>G188</f>
        <v>91201649.21</v>
      </c>
      <c r="H187" s="135">
        <f>H188</f>
        <v>97656200</v>
      </c>
      <c r="I187" s="135">
        <f>I188</f>
        <v>98130750</v>
      </c>
      <c r="J187" s="10"/>
      <c r="K187" s="2"/>
      <c r="L187" s="2"/>
      <c r="M187" s="2"/>
      <c r="N187" s="2"/>
    </row>
    <row r="188" spans="1:14" ht="16.5" customHeight="1">
      <c r="A188" s="87" t="s">
        <v>275</v>
      </c>
      <c r="B188" s="164" t="s">
        <v>503</v>
      </c>
      <c r="C188" s="134" t="s">
        <v>405</v>
      </c>
      <c r="D188" s="134" t="s">
        <v>393</v>
      </c>
      <c r="E188" s="164" t="s">
        <v>276</v>
      </c>
      <c r="F188" s="132"/>
      <c r="G188" s="135">
        <f>G189+G190+G191</f>
        <v>91201649.21</v>
      </c>
      <c r="H188" s="135">
        <f>H189+H190+H191</f>
        <v>97656200</v>
      </c>
      <c r="I188" s="135">
        <f>I189+I190+I191</f>
        <v>98130750</v>
      </c>
      <c r="J188" s="10"/>
      <c r="K188" s="2"/>
      <c r="L188" s="2"/>
      <c r="M188" s="2"/>
      <c r="N188" s="2"/>
    </row>
    <row r="189" spans="1:14" ht="75.75" customHeight="1">
      <c r="A189" s="71" t="s">
        <v>264</v>
      </c>
      <c r="B189" s="164" t="s">
        <v>503</v>
      </c>
      <c r="C189" s="143" t="s">
        <v>405</v>
      </c>
      <c r="D189" s="143" t="s">
        <v>393</v>
      </c>
      <c r="E189" s="163" t="s">
        <v>276</v>
      </c>
      <c r="F189" s="146">
        <v>100</v>
      </c>
      <c r="G189" s="145">
        <v>82682998.88</v>
      </c>
      <c r="H189" s="145">
        <v>87347100</v>
      </c>
      <c r="I189" s="145">
        <v>87512650</v>
      </c>
      <c r="J189" s="10"/>
      <c r="K189" s="2"/>
      <c r="L189" s="2"/>
      <c r="M189" s="2"/>
      <c r="N189" s="2"/>
    </row>
    <row r="190" spans="1:14" ht="30.75" customHeight="1">
      <c r="A190" s="71" t="s">
        <v>265</v>
      </c>
      <c r="B190" s="164" t="s">
        <v>503</v>
      </c>
      <c r="C190" s="143" t="s">
        <v>405</v>
      </c>
      <c r="D190" s="143" t="s">
        <v>393</v>
      </c>
      <c r="E190" s="163" t="s">
        <v>276</v>
      </c>
      <c r="F190" s="146">
        <v>200</v>
      </c>
      <c r="G190" s="145">
        <v>8504143.33</v>
      </c>
      <c r="H190" s="145">
        <v>10283300</v>
      </c>
      <c r="I190" s="145">
        <v>10591500</v>
      </c>
      <c r="J190" s="10"/>
      <c r="K190" s="2"/>
      <c r="L190" s="2"/>
      <c r="M190" s="2"/>
      <c r="N190" s="2"/>
    </row>
    <row r="191" spans="1:14" ht="16.5" customHeight="1">
      <c r="A191" s="71" t="s">
        <v>267</v>
      </c>
      <c r="B191" s="164" t="s">
        <v>503</v>
      </c>
      <c r="C191" s="143" t="s">
        <v>405</v>
      </c>
      <c r="D191" s="143" t="s">
        <v>393</v>
      </c>
      <c r="E191" s="163" t="s">
        <v>276</v>
      </c>
      <c r="F191" s="146">
        <v>800</v>
      </c>
      <c r="G191" s="145">
        <v>14507</v>
      </c>
      <c r="H191" s="145">
        <v>25800</v>
      </c>
      <c r="I191" s="145">
        <v>26600</v>
      </c>
      <c r="J191" s="10"/>
      <c r="K191" s="2"/>
      <c r="L191" s="2"/>
      <c r="M191" s="2"/>
      <c r="N191" s="2"/>
    </row>
    <row r="192" spans="1:14" ht="31.5" customHeight="1">
      <c r="A192" s="87" t="s">
        <v>345</v>
      </c>
      <c r="B192" s="164" t="s">
        <v>503</v>
      </c>
      <c r="C192" s="134" t="s">
        <v>405</v>
      </c>
      <c r="D192" s="134" t="s">
        <v>393</v>
      </c>
      <c r="E192" s="164" t="s">
        <v>346</v>
      </c>
      <c r="F192" s="132"/>
      <c r="G192" s="141">
        <f>G193</f>
        <v>133954356.89</v>
      </c>
      <c r="H192" s="141">
        <f>H193</f>
        <v>84397843.57</v>
      </c>
      <c r="I192" s="141">
        <f>I193</f>
        <v>0</v>
      </c>
      <c r="J192" s="10"/>
      <c r="K192" s="2"/>
      <c r="L192" s="2"/>
      <c r="M192" s="2"/>
      <c r="N192" s="2"/>
    </row>
    <row r="193" spans="1:14" ht="16.5" customHeight="1">
      <c r="A193" s="87" t="s">
        <v>348</v>
      </c>
      <c r="B193" s="164" t="s">
        <v>503</v>
      </c>
      <c r="C193" s="134" t="s">
        <v>405</v>
      </c>
      <c r="D193" s="134" t="s">
        <v>393</v>
      </c>
      <c r="E193" s="164" t="s">
        <v>349</v>
      </c>
      <c r="F193" s="132"/>
      <c r="G193" s="141">
        <f>G194</f>
        <v>133954356.89</v>
      </c>
      <c r="H193" s="141">
        <f>H194</f>
        <v>84397843.57</v>
      </c>
      <c r="I193" s="141">
        <f>I194</f>
        <v>0</v>
      </c>
      <c r="J193" s="10"/>
      <c r="K193" s="2"/>
      <c r="L193" s="2"/>
      <c r="M193" s="2"/>
      <c r="N193" s="2"/>
    </row>
    <row r="194" spans="1:14" ht="30.75" customHeight="1">
      <c r="A194" s="71" t="s">
        <v>350</v>
      </c>
      <c r="B194" s="164" t="s">
        <v>503</v>
      </c>
      <c r="C194" s="143" t="s">
        <v>405</v>
      </c>
      <c r="D194" s="143" t="s">
        <v>393</v>
      </c>
      <c r="E194" s="163" t="s">
        <v>349</v>
      </c>
      <c r="F194" s="146">
        <v>400</v>
      </c>
      <c r="G194" s="145">
        <f>приложение4!F193</f>
        <v>133954356.89</v>
      </c>
      <c r="H194" s="145">
        <f>приложение4!G193</f>
        <v>84397843.57</v>
      </c>
      <c r="I194" s="145">
        <f>приложение4!H193</f>
        <v>0</v>
      </c>
      <c r="J194" s="10"/>
      <c r="K194" s="2"/>
      <c r="L194" s="2"/>
      <c r="M194" s="2"/>
      <c r="N194" s="2"/>
    </row>
    <row r="195" spans="1:14" ht="16.5" customHeight="1">
      <c r="A195" s="87" t="s">
        <v>386</v>
      </c>
      <c r="B195" s="164" t="s">
        <v>503</v>
      </c>
      <c r="C195" s="143" t="s">
        <v>405</v>
      </c>
      <c r="D195" s="143" t="s">
        <v>393</v>
      </c>
      <c r="E195" s="134" t="s">
        <v>387</v>
      </c>
      <c r="F195" s="144"/>
      <c r="G195" s="141">
        <f>G196</f>
        <v>40000</v>
      </c>
      <c r="H195" s="141">
        <f>H196</f>
        <v>0</v>
      </c>
      <c r="I195" s="141">
        <f>I196</f>
        <v>0</v>
      </c>
      <c r="J195" s="10"/>
      <c r="K195" s="2"/>
      <c r="L195" s="2"/>
      <c r="M195" s="2"/>
      <c r="N195" s="2"/>
    </row>
    <row r="196" spans="1:14" ht="16.5" customHeight="1">
      <c r="A196" s="71" t="s">
        <v>406</v>
      </c>
      <c r="B196" s="164" t="s">
        <v>503</v>
      </c>
      <c r="C196" s="143" t="s">
        <v>405</v>
      </c>
      <c r="D196" s="143" t="s">
        <v>393</v>
      </c>
      <c r="E196" s="143" t="s">
        <v>407</v>
      </c>
      <c r="F196" s="144"/>
      <c r="G196" s="145">
        <f>G197</f>
        <v>40000</v>
      </c>
      <c r="H196" s="145">
        <f>H197</f>
        <v>0</v>
      </c>
      <c r="I196" s="145">
        <f>I197</f>
        <v>0</v>
      </c>
      <c r="J196" s="10"/>
      <c r="K196" s="2"/>
      <c r="L196" s="2"/>
      <c r="M196" s="2"/>
      <c r="N196" s="2"/>
    </row>
    <row r="197" spans="1:14" ht="30.75" customHeight="1">
      <c r="A197" s="71" t="s">
        <v>265</v>
      </c>
      <c r="B197" s="164" t="s">
        <v>503</v>
      </c>
      <c r="C197" s="143" t="s">
        <v>405</v>
      </c>
      <c r="D197" s="143" t="s">
        <v>393</v>
      </c>
      <c r="E197" s="163" t="s">
        <v>407</v>
      </c>
      <c r="F197" s="146">
        <v>200</v>
      </c>
      <c r="G197" s="145">
        <v>40000</v>
      </c>
      <c r="H197" s="145">
        <v>0</v>
      </c>
      <c r="I197" s="145">
        <v>0</v>
      </c>
      <c r="J197" s="10"/>
      <c r="K197" s="2"/>
      <c r="L197" s="2"/>
      <c r="M197" s="2"/>
      <c r="N197" s="2"/>
    </row>
    <row r="198" spans="1:14" ht="16.5" customHeight="1">
      <c r="A198" s="87" t="s">
        <v>484</v>
      </c>
      <c r="B198" s="164" t="s">
        <v>503</v>
      </c>
      <c r="C198" s="134" t="s">
        <v>405</v>
      </c>
      <c r="D198" s="134" t="s">
        <v>405</v>
      </c>
      <c r="E198" s="132"/>
      <c r="F198" s="132"/>
      <c r="G198" s="135">
        <f>G199+G214</f>
        <v>97319409.7</v>
      </c>
      <c r="H198" s="135">
        <f>H199+H214</f>
        <v>79221008.8</v>
      </c>
      <c r="I198" s="135">
        <f>I199+I214</f>
        <v>79983181.3716</v>
      </c>
      <c r="J198" s="10"/>
      <c r="K198" s="2"/>
      <c r="L198" s="2"/>
      <c r="M198" s="2"/>
      <c r="N198" s="2"/>
    </row>
    <row r="199" spans="1:14" ht="47.25" customHeight="1">
      <c r="A199" s="87" t="s">
        <v>485</v>
      </c>
      <c r="B199" s="164" t="s">
        <v>503</v>
      </c>
      <c r="C199" s="134" t="s">
        <v>405</v>
      </c>
      <c r="D199" s="134" t="s">
        <v>405</v>
      </c>
      <c r="E199" s="164" t="s">
        <v>320</v>
      </c>
      <c r="F199" s="132"/>
      <c r="G199" s="135">
        <f>G200+G203+G212+G207</f>
        <v>24232480.81</v>
      </c>
      <c r="H199" s="135">
        <f>H200+H203+H212+H207</f>
        <v>28527135.8</v>
      </c>
      <c r="I199" s="135">
        <f>I200+I203+I212+I207</f>
        <v>29289308.3716</v>
      </c>
      <c r="J199" s="10"/>
      <c r="K199" s="2"/>
      <c r="L199" s="2"/>
      <c r="M199" s="2"/>
      <c r="N199" s="2"/>
    </row>
    <row r="200" spans="1:14" ht="16.5" customHeight="1">
      <c r="A200" s="71" t="s">
        <v>262</v>
      </c>
      <c r="B200" s="164" t="s">
        <v>503</v>
      </c>
      <c r="C200" s="143" t="s">
        <v>405</v>
      </c>
      <c r="D200" s="143" t="s">
        <v>405</v>
      </c>
      <c r="E200" s="163" t="s">
        <v>321</v>
      </c>
      <c r="F200" s="144"/>
      <c r="G200" s="137">
        <f>SUM(G201:G202)</f>
        <v>14001323.58</v>
      </c>
      <c r="H200" s="137">
        <f>SUM(H201:H202)</f>
        <v>13754135.47</v>
      </c>
      <c r="I200" s="137">
        <f>SUM(I201:I202)</f>
        <v>14136265.17</v>
      </c>
      <c r="J200" s="10"/>
      <c r="K200" s="2"/>
      <c r="L200" s="2"/>
      <c r="M200" s="2"/>
      <c r="N200" s="2"/>
    </row>
    <row r="201" spans="1:14" ht="75.75" customHeight="1">
      <c r="A201" s="71" t="s">
        <v>264</v>
      </c>
      <c r="B201" s="164" t="s">
        <v>503</v>
      </c>
      <c r="C201" s="143" t="s">
        <v>405</v>
      </c>
      <c r="D201" s="143" t="s">
        <v>405</v>
      </c>
      <c r="E201" s="163" t="s">
        <v>321</v>
      </c>
      <c r="F201" s="146">
        <v>100</v>
      </c>
      <c r="G201" s="137">
        <v>13193103.58</v>
      </c>
      <c r="H201" s="137">
        <v>12790247.24</v>
      </c>
      <c r="I201" s="137">
        <v>13137023.75</v>
      </c>
      <c r="J201" s="10"/>
      <c r="K201" s="2"/>
      <c r="L201" s="2"/>
      <c r="M201" s="2"/>
      <c r="N201" s="2"/>
    </row>
    <row r="202" spans="1:14" ht="30.75" customHeight="1">
      <c r="A202" s="71" t="s">
        <v>265</v>
      </c>
      <c r="B202" s="164" t="s">
        <v>503</v>
      </c>
      <c r="C202" s="143" t="s">
        <v>405</v>
      </c>
      <c r="D202" s="143" t="s">
        <v>405</v>
      </c>
      <c r="E202" s="163" t="s">
        <v>321</v>
      </c>
      <c r="F202" s="146">
        <v>200</v>
      </c>
      <c r="G202" s="137">
        <v>808220</v>
      </c>
      <c r="H202" s="137">
        <v>963888.23</v>
      </c>
      <c r="I202" s="137">
        <v>999241.42</v>
      </c>
      <c r="J202" s="10"/>
      <c r="K202" s="2"/>
      <c r="L202" s="2"/>
      <c r="M202" s="2"/>
      <c r="N202" s="2"/>
    </row>
    <row r="203" spans="1:14" ht="30.75" customHeight="1">
      <c r="A203" s="71" t="s">
        <v>322</v>
      </c>
      <c r="B203" s="164" t="s">
        <v>503</v>
      </c>
      <c r="C203" s="143" t="s">
        <v>405</v>
      </c>
      <c r="D203" s="143" t="s">
        <v>405</v>
      </c>
      <c r="E203" s="163" t="s">
        <v>323</v>
      </c>
      <c r="F203" s="144"/>
      <c r="G203" s="137">
        <f>G204+G205+G206</f>
        <v>9144369.09</v>
      </c>
      <c r="H203" s="137">
        <f>H204+H205+H206</f>
        <v>12965895.96</v>
      </c>
      <c r="I203" s="137">
        <f>I204+I205+I206</f>
        <v>13290057.32</v>
      </c>
      <c r="J203" s="171"/>
      <c r="K203" s="172"/>
      <c r="L203" s="172"/>
      <c r="M203" s="172"/>
      <c r="N203" s="2"/>
    </row>
    <row r="204" spans="1:14" ht="75.75" customHeight="1">
      <c r="A204" s="71" t="s">
        <v>264</v>
      </c>
      <c r="B204" s="164" t="s">
        <v>503</v>
      </c>
      <c r="C204" s="143" t="s">
        <v>405</v>
      </c>
      <c r="D204" s="143" t="s">
        <v>405</v>
      </c>
      <c r="E204" s="163" t="s">
        <v>323</v>
      </c>
      <c r="F204" s="146">
        <v>100</v>
      </c>
      <c r="G204" s="137">
        <v>343294.8</v>
      </c>
      <c r="H204" s="137">
        <v>457203.75</v>
      </c>
      <c r="I204" s="137">
        <v>475491.9</v>
      </c>
      <c r="J204" s="171"/>
      <c r="K204" s="172"/>
      <c r="L204" s="172"/>
      <c r="M204" s="172"/>
      <c r="N204" s="2"/>
    </row>
    <row r="205" spans="1:14" ht="30.75" customHeight="1">
      <c r="A205" s="71" t="s">
        <v>265</v>
      </c>
      <c r="B205" s="164" t="s">
        <v>503</v>
      </c>
      <c r="C205" s="143" t="s">
        <v>405</v>
      </c>
      <c r="D205" s="143" t="s">
        <v>405</v>
      </c>
      <c r="E205" s="163" t="s">
        <v>323</v>
      </c>
      <c r="F205" s="146">
        <v>200</v>
      </c>
      <c r="G205" s="137">
        <v>1601246.29</v>
      </c>
      <c r="H205" s="137">
        <v>3727843.53</v>
      </c>
      <c r="I205" s="137">
        <v>3865609.31</v>
      </c>
      <c r="J205" s="10"/>
      <c r="K205" s="2"/>
      <c r="L205" s="2"/>
      <c r="M205" s="2"/>
      <c r="N205" s="2"/>
    </row>
    <row r="206" spans="1:14" ht="16.5" customHeight="1">
      <c r="A206" s="71" t="s">
        <v>266</v>
      </c>
      <c r="B206" s="164" t="s">
        <v>503</v>
      </c>
      <c r="C206" s="143" t="s">
        <v>405</v>
      </c>
      <c r="D206" s="143" t="s">
        <v>405</v>
      </c>
      <c r="E206" s="163" t="s">
        <v>323</v>
      </c>
      <c r="F206" s="146">
        <v>300</v>
      </c>
      <c r="G206" s="137">
        <v>7199828</v>
      </c>
      <c r="H206" s="137">
        <v>8780848.68</v>
      </c>
      <c r="I206" s="137">
        <v>8948956.11</v>
      </c>
      <c r="J206" s="10"/>
      <c r="K206" s="2"/>
      <c r="L206" s="2"/>
      <c r="M206" s="2"/>
      <c r="N206" s="2"/>
    </row>
    <row r="207" spans="1:14" ht="30.75" customHeight="1">
      <c r="A207" s="71" t="s">
        <v>324</v>
      </c>
      <c r="B207" s="164" t="s">
        <v>503</v>
      </c>
      <c r="C207" s="143" t="s">
        <v>405</v>
      </c>
      <c r="D207" s="143" t="s">
        <v>405</v>
      </c>
      <c r="E207" s="163" t="s">
        <v>325</v>
      </c>
      <c r="F207" s="144"/>
      <c r="G207" s="137">
        <f>SUM(G208:G211)</f>
        <v>758419</v>
      </c>
      <c r="H207" s="137">
        <f>SUM(H208:H211)</f>
        <v>805810.48</v>
      </c>
      <c r="I207" s="137">
        <f>SUM(I208:I211)</f>
        <v>829984.7916</v>
      </c>
      <c r="J207" s="10"/>
      <c r="K207" s="2"/>
      <c r="L207" s="2"/>
      <c r="M207" s="2"/>
      <c r="N207" s="2"/>
    </row>
    <row r="208" spans="1:14" ht="30.75" customHeight="1">
      <c r="A208" s="71" t="s">
        <v>265</v>
      </c>
      <c r="B208" s="164" t="s">
        <v>503</v>
      </c>
      <c r="C208" s="143" t="s">
        <v>405</v>
      </c>
      <c r="D208" s="143" t="s">
        <v>405</v>
      </c>
      <c r="E208" s="163" t="s">
        <v>325</v>
      </c>
      <c r="F208" s="146">
        <v>200</v>
      </c>
      <c r="G208" s="137">
        <v>231059</v>
      </c>
      <c r="H208" s="137">
        <v>264211.76</v>
      </c>
      <c r="I208" s="137">
        <v>272138.11</v>
      </c>
      <c r="J208" s="10"/>
      <c r="K208" s="2"/>
      <c r="L208" s="2"/>
      <c r="M208" s="2"/>
      <c r="N208" s="2"/>
    </row>
    <row r="209" spans="1:14" ht="16.5" customHeight="1">
      <c r="A209" s="71" t="s">
        <v>266</v>
      </c>
      <c r="B209" s="164" t="s">
        <v>503</v>
      </c>
      <c r="C209" s="143" t="s">
        <v>405</v>
      </c>
      <c r="D209" s="143" t="s">
        <v>405</v>
      </c>
      <c r="E209" s="163" t="s">
        <v>325</v>
      </c>
      <c r="F209" s="146">
        <v>300</v>
      </c>
      <c r="G209" s="137">
        <v>527360</v>
      </c>
      <c r="H209" s="137">
        <v>181098.72</v>
      </c>
      <c r="I209" s="137">
        <v>186531.6816</v>
      </c>
      <c r="J209" s="10"/>
      <c r="K209" s="2"/>
      <c r="L209" s="2"/>
      <c r="M209" s="2"/>
      <c r="N209" s="2"/>
    </row>
    <row r="210" spans="1:14" ht="30.75" customHeight="1">
      <c r="A210" s="71" t="s">
        <v>274</v>
      </c>
      <c r="B210" s="164" t="s">
        <v>503</v>
      </c>
      <c r="C210" s="143" t="s">
        <v>405</v>
      </c>
      <c r="D210" s="143" t="s">
        <v>405</v>
      </c>
      <c r="E210" s="163" t="s">
        <v>325</v>
      </c>
      <c r="F210" s="146">
        <v>600</v>
      </c>
      <c r="G210" s="137">
        <v>0</v>
      </c>
      <c r="H210" s="137">
        <v>360500</v>
      </c>
      <c r="I210" s="137">
        <v>371315</v>
      </c>
      <c r="J210" s="10"/>
      <c r="K210" s="2"/>
      <c r="L210" s="2"/>
      <c r="M210" s="2"/>
      <c r="N210" s="2"/>
    </row>
    <row r="211" spans="1:14" ht="16.5" customHeight="1">
      <c r="A211" s="71" t="s">
        <v>267</v>
      </c>
      <c r="B211" s="164" t="s">
        <v>503</v>
      </c>
      <c r="C211" s="143" t="s">
        <v>405</v>
      </c>
      <c r="D211" s="143" t="s">
        <v>405</v>
      </c>
      <c r="E211" s="163" t="s">
        <v>325</v>
      </c>
      <c r="F211" s="146">
        <v>800</v>
      </c>
      <c r="G211" s="137">
        <v>0</v>
      </c>
      <c r="H211" s="137"/>
      <c r="I211" s="137"/>
      <c r="J211" s="10"/>
      <c r="K211" s="2"/>
      <c r="L211" s="2"/>
      <c r="M211" s="2"/>
      <c r="N211" s="2"/>
    </row>
    <row r="212" spans="1:14" ht="30.75" customHeight="1">
      <c r="A212" s="71" t="s">
        <v>486</v>
      </c>
      <c r="B212" s="164" t="s">
        <v>503</v>
      </c>
      <c r="C212" s="143" t="s">
        <v>405</v>
      </c>
      <c r="D212" s="143" t="s">
        <v>405</v>
      </c>
      <c r="E212" s="143" t="s">
        <v>329</v>
      </c>
      <c r="F212" s="143"/>
      <c r="G212" s="137">
        <f>G213</f>
        <v>328369.14</v>
      </c>
      <c r="H212" s="137">
        <f>H213</f>
        <v>1001293.89</v>
      </c>
      <c r="I212" s="137">
        <f>I213</f>
        <v>1033001.09</v>
      </c>
      <c r="J212" s="10"/>
      <c r="K212" s="2"/>
      <c r="L212" s="2"/>
      <c r="M212" s="2"/>
      <c r="N212" s="2"/>
    </row>
    <row r="213" spans="1:14" ht="30.75" customHeight="1">
      <c r="A213" s="71" t="s">
        <v>265</v>
      </c>
      <c r="B213" s="164" t="s">
        <v>503</v>
      </c>
      <c r="C213" s="143" t="s">
        <v>405</v>
      </c>
      <c r="D213" s="143" t="s">
        <v>405</v>
      </c>
      <c r="E213" s="143" t="s">
        <v>329</v>
      </c>
      <c r="F213" s="143" t="s">
        <v>330</v>
      </c>
      <c r="G213" s="137">
        <v>328369.14</v>
      </c>
      <c r="H213" s="137">
        <v>1001293.89</v>
      </c>
      <c r="I213" s="137">
        <v>1033001.09</v>
      </c>
      <c r="J213" s="10"/>
      <c r="K213" s="2"/>
      <c r="L213" s="2"/>
      <c r="M213" s="2"/>
      <c r="N213" s="2"/>
    </row>
    <row r="214" spans="1:14" ht="16.5" customHeight="1">
      <c r="A214" s="87" t="s">
        <v>487</v>
      </c>
      <c r="B214" s="164" t="s">
        <v>503</v>
      </c>
      <c r="C214" s="134" t="s">
        <v>405</v>
      </c>
      <c r="D214" s="134" t="s">
        <v>405</v>
      </c>
      <c r="E214" s="164" t="s">
        <v>261</v>
      </c>
      <c r="F214" s="132"/>
      <c r="G214" s="135">
        <f>G215</f>
        <v>73086928.89</v>
      </c>
      <c r="H214" s="135">
        <f>H215</f>
        <v>50693873</v>
      </c>
      <c r="I214" s="135">
        <f>I215</f>
        <v>50693873</v>
      </c>
      <c r="J214" s="10"/>
      <c r="K214" s="2"/>
      <c r="L214" s="2"/>
      <c r="M214" s="2"/>
      <c r="N214" s="2"/>
    </row>
    <row r="215" spans="1:14" ht="16.5" customHeight="1">
      <c r="A215" s="71" t="s">
        <v>277</v>
      </c>
      <c r="B215" s="164" t="s">
        <v>503</v>
      </c>
      <c r="C215" s="143" t="s">
        <v>405</v>
      </c>
      <c r="D215" s="143" t="s">
        <v>405</v>
      </c>
      <c r="E215" s="163" t="s">
        <v>278</v>
      </c>
      <c r="F215" s="144"/>
      <c r="G215" s="137">
        <f>SUM(G216:G220)</f>
        <v>73086928.89</v>
      </c>
      <c r="H215" s="137">
        <f>SUM(H216:H220)</f>
        <v>50693873</v>
      </c>
      <c r="I215" s="137">
        <f>SUM(I216:I220)</f>
        <v>50693873</v>
      </c>
      <c r="J215" s="10"/>
      <c r="K215" s="2"/>
      <c r="L215" s="2"/>
      <c r="M215" s="2"/>
      <c r="N215" s="2"/>
    </row>
    <row r="216" spans="1:14" ht="75.75" customHeight="1">
      <c r="A216" s="71" t="s">
        <v>264</v>
      </c>
      <c r="B216" s="164" t="s">
        <v>503</v>
      </c>
      <c r="C216" s="143" t="s">
        <v>405</v>
      </c>
      <c r="D216" s="143" t="s">
        <v>405</v>
      </c>
      <c r="E216" s="163" t="s">
        <v>278</v>
      </c>
      <c r="F216" s="146">
        <v>100</v>
      </c>
      <c r="G216" s="137">
        <v>14973839.03</v>
      </c>
      <c r="H216" s="137">
        <v>0</v>
      </c>
      <c r="I216" s="137">
        <v>0</v>
      </c>
      <c r="J216" s="10"/>
      <c r="K216" s="2"/>
      <c r="L216" s="2"/>
      <c r="M216" s="2"/>
      <c r="N216" s="2"/>
    </row>
    <row r="217" spans="1:14" ht="30.75" customHeight="1">
      <c r="A217" s="71" t="s">
        <v>265</v>
      </c>
      <c r="B217" s="164" t="s">
        <v>503</v>
      </c>
      <c r="C217" s="143" t="s">
        <v>405</v>
      </c>
      <c r="D217" s="143" t="s">
        <v>405</v>
      </c>
      <c r="E217" s="163" t="s">
        <v>278</v>
      </c>
      <c r="F217" s="146">
        <v>200</v>
      </c>
      <c r="G217" s="137">
        <v>18334750.65</v>
      </c>
      <c r="H217" s="137">
        <v>0</v>
      </c>
      <c r="I217" s="137">
        <v>0</v>
      </c>
      <c r="J217" s="10"/>
      <c r="K217" s="2"/>
      <c r="L217" s="2"/>
      <c r="M217" s="2"/>
      <c r="N217" s="2"/>
    </row>
    <row r="218" spans="1:14" ht="16.5" customHeight="1">
      <c r="A218" s="71" t="s">
        <v>266</v>
      </c>
      <c r="B218" s="164" t="s">
        <v>503</v>
      </c>
      <c r="C218" s="143" t="s">
        <v>405</v>
      </c>
      <c r="D218" s="143" t="s">
        <v>405</v>
      </c>
      <c r="E218" s="163" t="s">
        <v>278</v>
      </c>
      <c r="F218" s="146">
        <v>300</v>
      </c>
      <c r="G218" s="137">
        <v>0</v>
      </c>
      <c r="H218" s="137">
        <v>10511573</v>
      </c>
      <c r="I218" s="137">
        <v>10511573</v>
      </c>
      <c r="J218" s="10"/>
      <c r="K218" s="2"/>
      <c r="L218" s="2"/>
      <c r="M218" s="2"/>
      <c r="N218" s="2"/>
    </row>
    <row r="219" spans="1:14" ht="30.75" customHeight="1">
      <c r="A219" s="71" t="s">
        <v>274</v>
      </c>
      <c r="B219" s="164" t="s">
        <v>503</v>
      </c>
      <c r="C219" s="143" t="s">
        <v>405</v>
      </c>
      <c r="D219" s="143" t="s">
        <v>405</v>
      </c>
      <c r="E219" s="163" t="s">
        <v>278</v>
      </c>
      <c r="F219" s="146">
        <v>600</v>
      </c>
      <c r="G219" s="137">
        <v>39778339.21</v>
      </c>
      <c r="H219" s="137">
        <v>0</v>
      </c>
      <c r="I219" s="137">
        <v>0</v>
      </c>
      <c r="J219" s="10"/>
      <c r="K219" s="2"/>
      <c r="L219" s="2"/>
      <c r="M219" s="2"/>
      <c r="N219" s="2"/>
    </row>
    <row r="220" spans="1:14" ht="16.5" customHeight="1">
      <c r="A220" s="71" t="s">
        <v>267</v>
      </c>
      <c r="B220" s="164" t="s">
        <v>503</v>
      </c>
      <c r="C220" s="143" t="s">
        <v>405</v>
      </c>
      <c r="D220" s="143" t="s">
        <v>405</v>
      </c>
      <c r="E220" s="163" t="s">
        <v>278</v>
      </c>
      <c r="F220" s="146">
        <v>800</v>
      </c>
      <c r="G220" s="137">
        <v>0</v>
      </c>
      <c r="H220" s="137">
        <v>40182300</v>
      </c>
      <c r="I220" s="137">
        <v>40182300</v>
      </c>
      <c r="J220" s="10"/>
      <c r="K220" s="2"/>
      <c r="L220" s="2"/>
      <c r="M220" s="2"/>
      <c r="N220" s="2"/>
    </row>
    <row r="221" spans="1:14" ht="16.5" customHeight="1">
      <c r="A221" s="87" t="s">
        <v>442</v>
      </c>
      <c r="B221" s="164" t="s">
        <v>503</v>
      </c>
      <c r="C221" s="134" t="s">
        <v>405</v>
      </c>
      <c r="D221" s="134" t="s">
        <v>443</v>
      </c>
      <c r="E221" s="132"/>
      <c r="F221" s="132"/>
      <c r="G221" s="135">
        <f>G222+G228</f>
        <v>84251969.05</v>
      </c>
      <c r="H221" s="135">
        <f>H222+H228</f>
        <v>93212568.02</v>
      </c>
      <c r="I221" s="135">
        <f>I222+I228</f>
        <v>93574751.9</v>
      </c>
      <c r="J221" s="10"/>
      <c r="K221" s="2"/>
      <c r="L221" s="2"/>
      <c r="M221" s="2"/>
      <c r="N221" s="2"/>
    </row>
    <row r="222" spans="1:14" ht="16.5" customHeight="1">
      <c r="A222" s="87" t="s">
        <v>260</v>
      </c>
      <c r="B222" s="164" t="s">
        <v>503</v>
      </c>
      <c r="C222" s="134" t="s">
        <v>405</v>
      </c>
      <c r="D222" s="134" t="s">
        <v>443</v>
      </c>
      <c r="E222" s="164" t="s">
        <v>261</v>
      </c>
      <c r="F222" s="132"/>
      <c r="G222" s="135">
        <f>G223</f>
        <v>81439252.77</v>
      </c>
      <c r="H222" s="135">
        <f>H223</f>
        <v>93212568.02</v>
      </c>
      <c r="I222" s="135">
        <f>I223</f>
        <v>93574751.9</v>
      </c>
      <c r="J222" s="10"/>
      <c r="K222" s="2"/>
      <c r="L222" s="2"/>
      <c r="M222" s="2"/>
      <c r="N222" s="2"/>
    </row>
    <row r="223" spans="1:14" ht="16.5" customHeight="1">
      <c r="A223" s="71" t="s">
        <v>488</v>
      </c>
      <c r="B223" s="164" t="s">
        <v>503</v>
      </c>
      <c r="C223" s="143" t="s">
        <v>405</v>
      </c>
      <c r="D223" s="143" t="s">
        <v>443</v>
      </c>
      <c r="E223" s="163" t="s">
        <v>263</v>
      </c>
      <c r="F223" s="144"/>
      <c r="G223" s="137">
        <f>SUM(G224:G227)</f>
        <v>81439252.77</v>
      </c>
      <c r="H223" s="137">
        <f>SUM(H224:H227)</f>
        <v>93212568.02</v>
      </c>
      <c r="I223" s="137">
        <f>SUM(I224:I227)</f>
        <v>93574751.9</v>
      </c>
      <c r="J223" s="10"/>
      <c r="K223" s="2"/>
      <c r="L223" s="2"/>
      <c r="M223" s="2"/>
      <c r="N223" s="2"/>
    </row>
    <row r="224" spans="1:14" ht="75.75" customHeight="1">
      <c r="A224" s="71" t="s">
        <v>264</v>
      </c>
      <c r="B224" s="164" t="s">
        <v>503</v>
      </c>
      <c r="C224" s="143" t="s">
        <v>405</v>
      </c>
      <c r="D224" s="143" t="s">
        <v>443</v>
      </c>
      <c r="E224" s="163" t="s">
        <v>263</v>
      </c>
      <c r="F224" s="146">
        <v>100</v>
      </c>
      <c r="G224" s="160">
        <v>65215605.81</v>
      </c>
      <c r="H224" s="160">
        <v>81059956</v>
      </c>
      <c r="I224" s="160">
        <v>81059956</v>
      </c>
      <c r="J224" s="10"/>
      <c r="K224" s="2"/>
      <c r="L224" s="2"/>
      <c r="M224" s="2"/>
      <c r="N224" s="2"/>
    </row>
    <row r="225" spans="1:14" ht="30.75" customHeight="1">
      <c r="A225" s="71" t="s">
        <v>265</v>
      </c>
      <c r="B225" s="164" t="s">
        <v>503</v>
      </c>
      <c r="C225" s="143" t="s">
        <v>405</v>
      </c>
      <c r="D225" s="143" t="s">
        <v>443</v>
      </c>
      <c r="E225" s="163" t="s">
        <v>263</v>
      </c>
      <c r="F225" s="146">
        <v>200</v>
      </c>
      <c r="G225" s="160">
        <v>10336209.42</v>
      </c>
      <c r="H225" s="160">
        <v>11652612.02</v>
      </c>
      <c r="I225" s="160">
        <v>12014795.9</v>
      </c>
      <c r="J225" s="10"/>
      <c r="K225" s="2"/>
      <c r="L225" s="2"/>
      <c r="M225" s="2"/>
      <c r="N225" s="2"/>
    </row>
    <row r="226" spans="1:14" ht="16.5" customHeight="1">
      <c r="A226" s="71" t="s">
        <v>266</v>
      </c>
      <c r="B226" s="164" t="s">
        <v>503</v>
      </c>
      <c r="C226" s="143" t="s">
        <v>405</v>
      </c>
      <c r="D226" s="143" t="s">
        <v>443</v>
      </c>
      <c r="E226" s="163" t="s">
        <v>263</v>
      </c>
      <c r="F226" s="146">
        <v>300</v>
      </c>
      <c r="G226" s="160">
        <v>5887437.54</v>
      </c>
      <c r="H226" s="160">
        <v>500000</v>
      </c>
      <c r="I226" s="160">
        <v>500000</v>
      </c>
      <c r="J226" s="10"/>
      <c r="K226" s="2"/>
      <c r="L226" s="2"/>
      <c r="M226" s="2"/>
      <c r="N226" s="2"/>
    </row>
    <row r="227" spans="1:14" ht="16.5" customHeight="1">
      <c r="A227" s="71" t="s">
        <v>267</v>
      </c>
      <c r="B227" s="164" t="s">
        <v>503</v>
      </c>
      <c r="C227" s="143" t="s">
        <v>405</v>
      </c>
      <c r="D227" s="143" t="s">
        <v>443</v>
      </c>
      <c r="E227" s="163" t="s">
        <v>263</v>
      </c>
      <c r="F227" s="146">
        <v>800</v>
      </c>
      <c r="G227" s="160">
        <f>приложение4!F226</f>
        <v>0</v>
      </c>
      <c r="H227" s="160">
        <f>приложение4!G226</f>
        <v>0</v>
      </c>
      <c r="I227" s="160">
        <f>приложение4!H226</f>
        <v>0</v>
      </c>
      <c r="J227" s="10"/>
      <c r="K227" s="2"/>
      <c r="L227" s="2"/>
      <c r="M227" s="2"/>
      <c r="N227" s="2"/>
    </row>
    <row r="228" spans="1:14" ht="16.5" customHeight="1">
      <c r="A228" s="87" t="s">
        <v>386</v>
      </c>
      <c r="B228" s="164" t="s">
        <v>503</v>
      </c>
      <c r="C228" s="143" t="s">
        <v>405</v>
      </c>
      <c r="D228" s="143" t="s">
        <v>443</v>
      </c>
      <c r="E228" s="134" t="s">
        <v>387</v>
      </c>
      <c r="F228" s="132"/>
      <c r="G228" s="160">
        <f>G229</f>
        <v>2812716.28</v>
      </c>
      <c r="H228" s="160">
        <f>H229</f>
        <v>0</v>
      </c>
      <c r="I228" s="160">
        <f>I229</f>
        <v>0</v>
      </c>
      <c r="J228" s="10"/>
      <c r="K228" s="2"/>
      <c r="L228" s="2"/>
      <c r="M228" s="2"/>
      <c r="N228" s="2"/>
    </row>
    <row r="229" spans="1:14" ht="16.5" customHeight="1">
      <c r="A229" s="71" t="s">
        <v>406</v>
      </c>
      <c r="B229" s="164" t="s">
        <v>503</v>
      </c>
      <c r="C229" s="143" t="s">
        <v>405</v>
      </c>
      <c r="D229" s="143" t="s">
        <v>443</v>
      </c>
      <c r="E229" s="143" t="s">
        <v>407</v>
      </c>
      <c r="F229" s="144"/>
      <c r="G229" s="160">
        <f>G230</f>
        <v>2812716.28</v>
      </c>
      <c r="H229" s="160">
        <f>H230</f>
        <v>0</v>
      </c>
      <c r="I229" s="160">
        <f>I230</f>
        <v>0</v>
      </c>
      <c r="J229" s="10"/>
      <c r="K229" s="2"/>
      <c r="L229" s="2"/>
      <c r="M229" s="2"/>
      <c r="N229" s="2"/>
    </row>
    <row r="230" spans="1:14" ht="30.75" customHeight="1">
      <c r="A230" s="71" t="s">
        <v>265</v>
      </c>
      <c r="B230" s="164" t="s">
        <v>503</v>
      </c>
      <c r="C230" s="143" t="s">
        <v>405</v>
      </c>
      <c r="D230" s="143" t="s">
        <v>443</v>
      </c>
      <c r="E230" s="143" t="s">
        <v>407</v>
      </c>
      <c r="F230" s="146">
        <v>200</v>
      </c>
      <c r="G230" s="160">
        <v>2812716.28</v>
      </c>
      <c r="H230" s="160">
        <v>0</v>
      </c>
      <c r="I230" s="160">
        <v>0</v>
      </c>
      <c r="J230" s="10"/>
      <c r="K230" s="2"/>
      <c r="L230" s="2"/>
      <c r="M230" s="2"/>
      <c r="N230" s="2"/>
    </row>
    <row r="231" spans="1:14" ht="16.5" customHeight="1">
      <c r="A231" s="87" t="s">
        <v>444</v>
      </c>
      <c r="B231" s="164" t="s">
        <v>503</v>
      </c>
      <c r="C231" s="134" t="s">
        <v>445</v>
      </c>
      <c r="D231" s="134"/>
      <c r="E231" s="132"/>
      <c r="F231" s="132"/>
      <c r="G231" s="135">
        <f>G232+G254</f>
        <v>141764678.83</v>
      </c>
      <c r="H231" s="135">
        <f>H232+H254</f>
        <v>254971970</v>
      </c>
      <c r="I231" s="135">
        <f>I232+I254</f>
        <v>150055550</v>
      </c>
      <c r="J231" s="10"/>
      <c r="K231" s="2"/>
      <c r="L231" s="2"/>
      <c r="M231" s="2"/>
      <c r="N231" s="2"/>
    </row>
    <row r="232" spans="1:14" ht="16.5" customHeight="1">
      <c r="A232" s="87" t="s">
        <v>446</v>
      </c>
      <c r="B232" s="164" t="s">
        <v>503</v>
      </c>
      <c r="C232" s="134" t="s">
        <v>445</v>
      </c>
      <c r="D232" s="134" t="s">
        <v>383</v>
      </c>
      <c r="E232" s="132"/>
      <c r="F232" s="132"/>
      <c r="G232" s="135">
        <f>G233+G248+G251</f>
        <v>106009473.22</v>
      </c>
      <c r="H232" s="135">
        <f>H233+H248+H251</f>
        <v>215639470</v>
      </c>
      <c r="I232" s="135">
        <f>I233+I248+I251</f>
        <v>110542050</v>
      </c>
      <c r="J232" s="10"/>
      <c r="K232" s="2"/>
      <c r="L232" s="2"/>
      <c r="M232" s="2"/>
      <c r="N232" s="2"/>
    </row>
    <row r="233" spans="1:14" ht="16.5" customHeight="1">
      <c r="A233" s="87" t="s">
        <v>279</v>
      </c>
      <c r="B233" s="164" t="s">
        <v>503</v>
      </c>
      <c r="C233" s="134" t="s">
        <v>445</v>
      </c>
      <c r="D233" s="134" t="s">
        <v>383</v>
      </c>
      <c r="E233" s="164" t="s">
        <v>280</v>
      </c>
      <c r="F233" s="132"/>
      <c r="G233" s="135">
        <f>G234+G237+G246</f>
        <v>103204701.38</v>
      </c>
      <c r="H233" s="135">
        <f>H234+H237+H246</f>
        <v>132043080</v>
      </c>
      <c r="I233" s="135">
        <f>I234+I237+I246</f>
        <v>110542050</v>
      </c>
      <c r="J233" s="10"/>
      <c r="K233" s="2"/>
      <c r="L233" s="2"/>
      <c r="M233" s="2"/>
      <c r="N233" s="2"/>
    </row>
    <row r="234" spans="1:14" ht="30.75" customHeight="1">
      <c r="A234" s="71" t="s">
        <v>282</v>
      </c>
      <c r="B234" s="164" t="s">
        <v>503</v>
      </c>
      <c r="C234" s="143" t="s">
        <v>445</v>
      </c>
      <c r="D234" s="143" t="s">
        <v>383</v>
      </c>
      <c r="E234" s="163" t="s">
        <v>283</v>
      </c>
      <c r="F234" s="144"/>
      <c r="G234" s="137">
        <f>SUM(G235:G236)</f>
        <v>2223231.4</v>
      </c>
      <c r="H234" s="137">
        <f>SUM(H235:H236)</f>
        <v>2399400</v>
      </c>
      <c r="I234" s="137">
        <f>SUM(I235:I236)</f>
        <v>2471400</v>
      </c>
      <c r="J234" s="10"/>
      <c r="K234" s="2"/>
      <c r="L234" s="2"/>
      <c r="M234" s="2"/>
      <c r="N234" s="2"/>
    </row>
    <row r="235" spans="1:14" ht="30.75" customHeight="1">
      <c r="A235" s="71" t="s">
        <v>265</v>
      </c>
      <c r="B235" s="164" t="s">
        <v>503</v>
      </c>
      <c r="C235" s="143" t="s">
        <v>445</v>
      </c>
      <c r="D235" s="143" t="s">
        <v>383</v>
      </c>
      <c r="E235" s="163" t="s">
        <v>283</v>
      </c>
      <c r="F235" s="146">
        <v>200</v>
      </c>
      <c r="G235" s="137">
        <v>2223231.4</v>
      </c>
      <c r="H235" s="137">
        <v>2389100</v>
      </c>
      <c r="I235" s="137">
        <v>2460800</v>
      </c>
      <c r="J235" s="10"/>
      <c r="K235" s="2"/>
      <c r="L235" s="2"/>
      <c r="M235" s="2"/>
      <c r="N235" s="2"/>
    </row>
    <row r="236" spans="1:14" ht="16.5" customHeight="1">
      <c r="A236" s="71" t="s">
        <v>267</v>
      </c>
      <c r="B236" s="164" t="s">
        <v>503</v>
      </c>
      <c r="C236" s="143" t="s">
        <v>445</v>
      </c>
      <c r="D236" s="143" t="s">
        <v>383</v>
      </c>
      <c r="E236" s="163" t="s">
        <v>283</v>
      </c>
      <c r="F236" s="146">
        <v>800</v>
      </c>
      <c r="G236" s="137">
        <v>0</v>
      </c>
      <c r="H236" s="137">
        <v>10300</v>
      </c>
      <c r="I236" s="137">
        <v>10600</v>
      </c>
      <c r="J236" s="10"/>
      <c r="K236" s="2"/>
      <c r="L236" s="2"/>
      <c r="M236" s="2"/>
      <c r="N236" s="2"/>
    </row>
    <row r="237" spans="1:14" ht="45" customHeight="1">
      <c r="A237" s="170" t="s">
        <v>489</v>
      </c>
      <c r="B237" s="164" t="s">
        <v>503</v>
      </c>
      <c r="C237" s="143" t="s">
        <v>445</v>
      </c>
      <c r="D237" s="143" t="s">
        <v>383</v>
      </c>
      <c r="E237" s="163" t="s">
        <v>285</v>
      </c>
      <c r="F237" s="144"/>
      <c r="G237" s="137">
        <f>G238+G242</f>
        <v>100981469.98</v>
      </c>
      <c r="H237" s="137">
        <f>H238+H242</f>
        <v>107191050</v>
      </c>
      <c r="I237" s="137">
        <f>I238+I242</f>
        <v>108070650</v>
      </c>
      <c r="J237" s="10"/>
      <c r="K237" s="2"/>
      <c r="L237" s="2"/>
      <c r="M237" s="2"/>
      <c r="N237" s="2"/>
    </row>
    <row r="238" spans="1:14" ht="16.5" customHeight="1">
      <c r="A238" s="170" t="s">
        <v>286</v>
      </c>
      <c r="B238" s="164" t="s">
        <v>503</v>
      </c>
      <c r="C238" s="143" t="s">
        <v>445</v>
      </c>
      <c r="D238" s="143" t="s">
        <v>383</v>
      </c>
      <c r="E238" s="163" t="s">
        <v>490</v>
      </c>
      <c r="F238" s="144"/>
      <c r="G238" s="137">
        <f>SUM(G239:G241)</f>
        <v>78487210.21</v>
      </c>
      <c r="H238" s="137">
        <f>SUM(H239:H241)</f>
        <v>83779100</v>
      </c>
      <c r="I238" s="137">
        <f>SUM(I239:I241)</f>
        <v>84400500</v>
      </c>
      <c r="J238" s="10"/>
      <c r="K238" s="2"/>
      <c r="L238" s="2"/>
      <c r="M238" s="2"/>
      <c r="N238" s="2"/>
    </row>
    <row r="239" spans="1:14" ht="75.75" customHeight="1">
      <c r="A239" s="71" t="s">
        <v>264</v>
      </c>
      <c r="B239" s="164" t="s">
        <v>503</v>
      </c>
      <c r="C239" s="143" t="s">
        <v>445</v>
      </c>
      <c r="D239" s="143" t="s">
        <v>383</v>
      </c>
      <c r="E239" s="163" t="s">
        <v>285</v>
      </c>
      <c r="F239" s="146">
        <v>100</v>
      </c>
      <c r="G239" s="160">
        <v>59414961</v>
      </c>
      <c r="H239" s="160">
        <v>62813000</v>
      </c>
      <c r="I239" s="160">
        <v>62815000</v>
      </c>
      <c r="J239" s="10"/>
      <c r="K239" s="2"/>
      <c r="L239" s="2"/>
      <c r="M239" s="2"/>
      <c r="N239" s="2"/>
    </row>
    <row r="240" spans="1:14" ht="30.75" customHeight="1">
      <c r="A240" s="71" t="s">
        <v>265</v>
      </c>
      <c r="B240" s="164" t="s">
        <v>503</v>
      </c>
      <c r="C240" s="143" t="s">
        <v>445</v>
      </c>
      <c r="D240" s="143" t="s">
        <v>383</v>
      </c>
      <c r="E240" s="163" t="s">
        <v>285</v>
      </c>
      <c r="F240" s="146">
        <v>200</v>
      </c>
      <c r="G240" s="160">
        <v>18753091.21</v>
      </c>
      <c r="H240" s="160">
        <v>20445000</v>
      </c>
      <c r="I240" s="160">
        <v>21048800</v>
      </c>
      <c r="J240" s="10"/>
      <c r="K240" s="2"/>
      <c r="L240" s="2"/>
      <c r="M240" s="2"/>
      <c r="N240" s="2"/>
    </row>
    <row r="241" spans="1:14" ht="16.5" customHeight="1">
      <c r="A241" s="71" t="s">
        <v>267</v>
      </c>
      <c r="B241" s="164" t="s">
        <v>503</v>
      </c>
      <c r="C241" s="143" t="s">
        <v>445</v>
      </c>
      <c r="D241" s="143" t="s">
        <v>383</v>
      </c>
      <c r="E241" s="163" t="s">
        <v>285</v>
      </c>
      <c r="F241" s="146">
        <v>800</v>
      </c>
      <c r="G241" s="160">
        <v>319158</v>
      </c>
      <c r="H241" s="160">
        <v>521100</v>
      </c>
      <c r="I241" s="160">
        <v>536700</v>
      </c>
      <c r="J241" s="10"/>
      <c r="K241" s="2"/>
      <c r="L241" s="2"/>
      <c r="M241" s="2"/>
      <c r="N241" s="2"/>
    </row>
    <row r="242" spans="1:14" ht="16.5" customHeight="1">
      <c r="A242" s="71" t="s">
        <v>287</v>
      </c>
      <c r="B242" s="164" t="s">
        <v>503</v>
      </c>
      <c r="C242" s="143" t="s">
        <v>445</v>
      </c>
      <c r="D242" s="143" t="s">
        <v>383</v>
      </c>
      <c r="E242" s="163" t="s">
        <v>491</v>
      </c>
      <c r="F242" s="144"/>
      <c r="G242" s="160">
        <f>SUM(G243:G245)</f>
        <v>22494259.77</v>
      </c>
      <c r="H242" s="160">
        <f>SUM(H243:H245)</f>
        <v>23411950</v>
      </c>
      <c r="I242" s="160">
        <f>SUM(I243:I245)</f>
        <v>23670150</v>
      </c>
      <c r="J242" s="10"/>
      <c r="K242" s="2"/>
      <c r="L242" s="2"/>
      <c r="M242" s="2"/>
      <c r="N242" s="2"/>
    </row>
    <row r="243" spans="1:14" ht="75.75" customHeight="1">
      <c r="A243" s="71" t="s">
        <v>264</v>
      </c>
      <c r="B243" s="164" t="s">
        <v>503</v>
      </c>
      <c r="C243" s="143" t="s">
        <v>445</v>
      </c>
      <c r="D243" s="143" t="s">
        <v>383</v>
      </c>
      <c r="E243" s="163" t="s">
        <v>285</v>
      </c>
      <c r="F243" s="146">
        <v>100</v>
      </c>
      <c r="G243" s="160">
        <v>20400599.4</v>
      </c>
      <c r="H243" s="160">
        <v>20798350</v>
      </c>
      <c r="I243" s="160">
        <v>20985450</v>
      </c>
      <c r="J243" s="10"/>
      <c r="K243" s="2"/>
      <c r="L243" s="2"/>
      <c r="M243" s="2"/>
      <c r="N243" s="2"/>
    </row>
    <row r="244" spans="1:14" ht="30.75" customHeight="1">
      <c r="A244" s="71" t="s">
        <v>265</v>
      </c>
      <c r="B244" s="164" t="s">
        <v>503</v>
      </c>
      <c r="C244" s="143" t="s">
        <v>445</v>
      </c>
      <c r="D244" s="143" t="s">
        <v>383</v>
      </c>
      <c r="E244" s="163" t="s">
        <v>285</v>
      </c>
      <c r="F244" s="146">
        <v>200</v>
      </c>
      <c r="G244" s="160">
        <v>2090229.37</v>
      </c>
      <c r="H244" s="160">
        <v>2526000</v>
      </c>
      <c r="I244" s="160">
        <v>2594500</v>
      </c>
      <c r="J244" s="10"/>
      <c r="K244" s="2"/>
      <c r="L244" s="2"/>
      <c r="M244" s="2"/>
      <c r="N244" s="2"/>
    </row>
    <row r="245" spans="1:14" ht="16.5" customHeight="1">
      <c r="A245" s="71" t="s">
        <v>267</v>
      </c>
      <c r="B245" s="164" t="s">
        <v>503</v>
      </c>
      <c r="C245" s="143" t="s">
        <v>445</v>
      </c>
      <c r="D245" s="143" t="s">
        <v>383</v>
      </c>
      <c r="E245" s="163" t="s">
        <v>285</v>
      </c>
      <c r="F245" s="146">
        <v>800</v>
      </c>
      <c r="G245" s="160">
        <v>3431</v>
      </c>
      <c r="H245" s="160">
        <v>87600</v>
      </c>
      <c r="I245" s="160">
        <v>90200</v>
      </c>
      <c r="J245" s="10"/>
      <c r="K245" s="2"/>
      <c r="L245" s="2"/>
      <c r="M245" s="2"/>
      <c r="N245" s="2"/>
    </row>
    <row r="246" spans="1:14" ht="31.5" customHeight="1">
      <c r="A246" s="87" t="s">
        <v>288</v>
      </c>
      <c r="B246" s="164" t="s">
        <v>503</v>
      </c>
      <c r="C246" s="143" t="s">
        <v>445</v>
      </c>
      <c r="D246" s="143" t="s">
        <v>383</v>
      </c>
      <c r="E246" s="163" t="s">
        <v>289</v>
      </c>
      <c r="F246" s="144"/>
      <c r="G246" s="160">
        <f>G247</f>
        <v>0</v>
      </c>
      <c r="H246" s="160">
        <f>H247</f>
        <v>22452630</v>
      </c>
      <c r="I246" s="160">
        <f>I247</f>
        <v>0</v>
      </c>
      <c r="J246" s="10"/>
      <c r="K246" s="2"/>
      <c r="L246" s="2"/>
      <c r="M246" s="2"/>
      <c r="N246" s="2"/>
    </row>
    <row r="247" spans="1:14" ht="30.75" customHeight="1">
      <c r="A247" s="71" t="s">
        <v>290</v>
      </c>
      <c r="B247" s="164" t="s">
        <v>503</v>
      </c>
      <c r="C247" s="143" t="s">
        <v>445</v>
      </c>
      <c r="D247" s="143" t="s">
        <v>383</v>
      </c>
      <c r="E247" s="163" t="s">
        <v>289</v>
      </c>
      <c r="F247" s="146">
        <v>400</v>
      </c>
      <c r="G247" s="160">
        <f>приложение4!F246</f>
        <v>0</v>
      </c>
      <c r="H247" s="160">
        <f>приложение4!G246</f>
        <v>22452630</v>
      </c>
      <c r="I247" s="160">
        <f>приложение4!H246</f>
        <v>0</v>
      </c>
      <c r="J247" s="10"/>
      <c r="K247" s="2"/>
      <c r="L247" s="2"/>
      <c r="M247" s="2"/>
      <c r="N247" s="2"/>
    </row>
    <row r="248" spans="1:14" ht="31.5" customHeight="1">
      <c r="A248" s="87" t="s">
        <v>374</v>
      </c>
      <c r="B248" s="164" t="s">
        <v>503</v>
      </c>
      <c r="C248" s="134" t="s">
        <v>445</v>
      </c>
      <c r="D248" s="134" t="s">
        <v>383</v>
      </c>
      <c r="E248" s="164" t="s">
        <v>492</v>
      </c>
      <c r="F248" s="132"/>
      <c r="G248" s="173">
        <f>G249</f>
        <v>2509576.84</v>
      </c>
      <c r="H248" s="173">
        <f>H249</f>
        <v>83596390</v>
      </c>
      <c r="I248" s="173">
        <f>I249</f>
        <v>0</v>
      </c>
      <c r="J248" s="10"/>
      <c r="K248" s="2"/>
      <c r="L248" s="2"/>
      <c r="M248" s="2"/>
      <c r="N248" s="2"/>
    </row>
    <row r="249" spans="1:14" ht="31.5" customHeight="1">
      <c r="A249" s="87" t="s">
        <v>375</v>
      </c>
      <c r="B249" s="164" t="s">
        <v>503</v>
      </c>
      <c r="C249" s="143" t="s">
        <v>445</v>
      </c>
      <c r="D249" s="143" t="s">
        <v>383</v>
      </c>
      <c r="E249" s="163" t="s">
        <v>493</v>
      </c>
      <c r="F249" s="132"/>
      <c r="G249" s="173">
        <f>G250</f>
        <v>2509576.84</v>
      </c>
      <c r="H249" s="173">
        <f>H250</f>
        <v>83596390</v>
      </c>
      <c r="I249" s="173">
        <f>I250</f>
        <v>0</v>
      </c>
      <c r="J249" s="10"/>
      <c r="K249" s="2"/>
      <c r="L249" s="2"/>
      <c r="M249" s="2"/>
      <c r="N249" s="2"/>
    </row>
    <row r="250" spans="1:14" ht="30.75" customHeight="1">
      <c r="A250" s="71" t="s">
        <v>290</v>
      </c>
      <c r="B250" s="164" t="s">
        <v>503</v>
      </c>
      <c r="C250" s="143" t="s">
        <v>445</v>
      </c>
      <c r="D250" s="143" t="s">
        <v>383</v>
      </c>
      <c r="E250" s="163" t="s">
        <v>493</v>
      </c>
      <c r="F250" s="146">
        <v>400</v>
      </c>
      <c r="G250" s="160">
        <f>приложение4!F249</f>
        <v>2509576.84</v>
      </c>
      <c r="H250" s="160">
        <f>приложение4!G249</f>
        <v>83596390</v>
      </c>
      <c r="I250" s="160">
        <f>приложение4!H249</f>
        <v>0</v>
      </c>
      <c r="J250" s="10"/>
      <c r="K250" s="2"/>
      <c r="L250" s="2"/>
      <c r="M250" s="2"/>
      <c r="N250" s="2"/>
    </row>
    <row r="251" spans="1:14" ht="16.5" customHeight="1">
      <c r="A251" s="87" t="s">
        <v>386</v>
      </c>
      <c r="B251" s="164" t="s">
        <v>503</v>
      </c>
      <c r="C251" s="134" t="s">
        <v>445</v>
      </c>
      <c r="D251" s="134" t="s">
        <v>383</v>
      </c>
      <c r="E251" s="134" t="s">
        <v>387</v>
      </c>
      <c r="F251" s="132"/>
      <c r="G251" s="173">
        <f>G252</f>
        <v>295195</v>
      </c>
      <c r="H251" s="173">
        <f>H252</f>
        <v>0</v>
      </c>
      <c r="I251" s="173">
        <f>I252</f>
        <v>0</v>
      </c>
      <c r="J251" s="10"/>
      <c r="K251" s="2"/>
      <c r="L251" s="2"/>
      <c r="M251" s="2"/>
      <c r="N251" s="2"/>
    </row>
    <row r="252" spans="1:14" ht="16.5" customHeight="1">
      <c r="A252" s="71" t="s">
        <v>406</v>
      </c>
      <c r="B252" s="164" t="s">
        <v>503</v>
      </c>
      <c r="C252" s="143" t="s">
        <v>445</v>
      </c>
      <c r="D252" s="143" t="s">
        <v>383</v>
      </c>
      <c r="E252" s="143" t="s">
        <v>407</v>
      </c>
      <c r="F252" s="144"/>
      <c r="G252" s="160">
        <f>G253</f>
        <v>295195</v>
      </c>
      <c r="H252" s="160">
        <f>H253</f>
        <v>0</v>
      </c>
      <c r="I252" s="160">
        <f>I253</f>
        <v>0</v>
      </c>
      <c r="J252" s="10"/>
      <c r="K252" s="2"/>
      <c r="L252" s="2"/>
      <c r="M252" s="2"/>
      <c r="N252" s="2"/>
    </row>
    <row r="253" spans="1:14" ht="30.75" customHeight="1">
      <c r="A253" s="71" t="s">
        <v>265</v>
      </c>
      <c r="B253" s="164" t="s">
        <v>503</v>
      </c>
      <c r="C253" s="143" t="s">
        <v>445</v>
      </c>
      <c r="D253" s="143" t="s">
        <v>383</v>
      </c>
      <c r="E253" s="143" t="s">
        <v>407</v>
      </c>
      <c r="F253" s="146">
        <v>200</v>
      </c>
      <c r="G253" s="160">
        <v>295195</v>
      </c>
      <c r="H253" s="160">
        <v>0</v>
      </c>
      <c r="I253" s="160">
        <v>0</v>
      </c>
      <c r="J253" s="10"/>
      <c r="K253" s="2"/>
      <c r="L253" s="2"/>
      <c r="M253" s="2"/>
      <c r="N253" s="2"/>
    </row>
    <row r="254" spans="1:14" ht="31.5" customHeight="1">
      <c r="A254" s="87" t="s">
        <v>494</v>
      </c>
      <c r="B254" s="164" t="s">
        <v>503</v>
      </c>
      <c r="C254" s="134" t="s">
        <v>445</v>
      </c>
      <c r="D254" s="134" t="s">
        <v>397</v>
      </c>
      <c r="E254" s="132"/>
      <c r="F254" s="132"/>
      <c r="G254" s="135">
        <f>G255</f>
        <v>35755205.61</v>
      </c>
      <c r="H254" s="135">
        <f>H255</f>
        <v>39332500</v>
      </c>
      <c r="I254" s="135">
        <f>I255</f>
        <v>39513500</v>
      </c>
      <c r="J254" s="10"/>
      <c r="K254" s="2"/>
      <c r="L254" s="2"/>
      <c r="M254" s="2"/>
      <c r="N254" s="2"/>
    </row>
    <row r="255" spans="1:14" ht="16.5" customHeight="1">
      <c r="A255" s="87" t="s">
        <v>279</v>
      </c>
      <c r="B255" s="164" t="s">
        <v>503</v>
      </c>
      <c r="C255" s="134" t="s">
        <v>445</v>
      </c>
      <c r="D255" s="134" t="s">
        <v>397</v>
      </c>
      <c r="E255" s="164" t="s">
        <v>280</v>
      </c>
      <c r="F255" s="132"/>
      <c r="G255" s="137">
        <f>G256</f>
        <v>35755205.61</v>
      </c>
      <c r="H255" s="137">
        <f>H256</f>
        <v>39332500</v>
      </c>
      <c r="I255" s="137">
        <f>I256</f>
        <v>39513500</v>
      </c>
      <c r="J255" s="10"/>
      <c r="K255" s="2"/>
      <c r="L255" s="2"/>
      <c r="M255" s="2"/>
      <c r="N255" s="2"/>
    </row>
    <row r="256" spans="1:14" ht="16.5" customHeight="1">
      <c r="A256" s="71" t="s">
        <v>262</v>
      </c>
      <c r="B256" s="164" t="s">
        <v>503</v>
      </c>
      <c r="C256" s="143" t="s">
        <v>445</v>
      </c>
      <c r="D256" s="143" t="s">
        <v>397</v>
      </c>
      <c r="E256" s="163" t="s">
        <v>281</v>
      </c>
      <c r="F256" s="144"/>
      <c r="G256" s="137">
        <f>G257+G258+G260+G259</f>
        <v>35755205.61</v>
      </c>
      <c r="H256" s="137">
        <f>H257+H258+H260+H259</f>
        <v>39332500</v>
      </c>
      <c r="I256" s="137">
        <f>I257+I258+I260+I259</f>
        <v>39513500</v>
      </c>
      <c r="J256" s="10"/>
      <c r="K256" s="2"/>
      <c r="L256" s="2"/>
      <c r="M256" s="2"/>
      <c r="N256" s="2"/>
    </row>
    <row r="257" spans="1:14" ht="75.75" customHeight="1">
      <c r="A257" s="71" t="s">
        <v>264</v>
      </c>
      <c r="B257" s="164" t="s">
        <v>503</v>
      </c>
      <c r="C257" s="143" t="s">
        <v>445</v>
      </c>
      <c r="D257" s="143" t="s">
        <v>397</v>
      </c>
      <c r="E257" s="163" t="s">
        <v>281</v>
      </c>
      <c r="F257" s="146">
        <v>100</v>
      </c>
      <c r="G257" s="145">
        <v>29348547.98</v>
      </c>
      <c r="H257" s="145">
        <v>30908100</v>
      </c>
      <c r="I257" s="145">
        <v>30962600</v>
      </c>
      <c r="J257" s="10"/>
      <c r="K257" s="2"/>
      <c r="L257" s="2"/>
      <c r="M257" s="2"/>
      <c r="N257" s="2"/>
    </row>
    <row r="258" spans="1:14" ht="30.75" customHeight="1">
      <c r="A258" s="174" t="s">
        <v>265</v>
      </c>
      <c r="B258" s="134" t="s">
        <v>503</v>
      </c>
      <c r="C258" s="143" t="s">
        <v>445</v>
      </c>
      <c r="D258" s="143" t="s">
        <v>397</v>
      </c>
      <c r="E258" s="143" t="s">
        <v>281</v>
      </c>
      <c r="F258" s="161">
        <v>200</v>
      </c>
      <c r="G258" s="145">
        <v>5167476.84</v>
      </c>
      <c r="H258" s="145">
        <v>8414100</v>
      </c>
      <c r="I258" s="145">
        <v>8540300</v>
      </c>
      <c r="J258" s="10"/>
      <c r="K258" s="2"/>
      <c r="L258" s="2"/>
      <c r="M258" s="2"/>
      <c r="N258" s="2"/>
    </row>
    <row r="259" spans="1:14" ht="16.5" customHeight="1">
      <c r="A259" s="174" t="s">
        <v>266</v>
      </c>
      <c r="B259" s="134" t="s">
        <v>503</v>
      </c>
      <c r="C259" s="143" t="s">
        <v>445</v>
      </c>
      <c r="D259" s="143" t="s">
        <v>397</v>
      </c>
      <c r="E259" s="143" t="s">
        <v>281</v>
      </c>
      <c r="F259" s="161">
        <v>300</v>
      </c>
      <c r="G259" s="145">
        <v>1234730.79</v>
      </c>
      <c r="H259" s="145">
        <v>0</v>
      </c>
      <c r="I259" s="145">
        <v>0</v>
      </c>
      <c r="J259" s="10"/>
      <c r="K259" s="2"/>
      <c r="L259" s="2"/>
      <c r="M259" s="2"/>
      <c r="N259" s="2"/>
    </row>
    <row r="260" spans="1:14" ht="16.5" customHeight="1">
      <c r="A260" s="71" t="s">
        <v>267</v>
      </c>
      <c r="B260" s="164" t="s">
        <v>503</v>
      </c>
      <c r="C260" s="143" t="s">
        <v>445</v>
      </c>
      <c r="D260" s="143" t="s">
        <v>397</v>
      </c>
      <c r="E260" s="163" t="s">
        <v>281</v>
      </c>
      <c r="F260" s="146">
        <v>800</v>
      </c>
      <c r="G260" s="145">
        <v>4450</v>
      </c>
      <c r="H260" s="145">
        <v>10300</v>
      </c>
      <c r="I260" s="145">
        <v>10600</v>
      </c>
      <c r="J260" s="10"/>
      <c r="K260" s="2"/>
      <c r="L260" s="2"/>
      <c r="M260" s="2"/>
      <c r="N260" s="2"/>
    </row>
    <row r="261" spans="1:14" ht="16.5" customHeight="1">
      <c r="A261" s="87" t="s">
        <v>447</v>
      </c>
      <c r="B261" s="164" t="s">
        <v>503</v>
      </c>
      <c r="C261" s="134" t="s">
        <v>443</v>
      </c>
      <c r="D261" s="134"/>
      <c r="E261" s="164"/>
      <c r="F261" s="132"/>
      <c r="G261" s="141">
        <f>G262</f>
        <v>41046340.68</v>
      </c>
      <c r="H261" s="141">
        <f>H262</f>
        <v>28400000</v>
      </c>
      <c r="I261" s="141">
        <f>I262</f>
        <v>0</v>
      </c>
      <c r="J261" s="10"/>
      <c r="K261" s="2"/>
      <c r="L261" s="2"/>
      <c r="M261" s="2"/>
      <c r="N261" s="2"/>
    </row>
    <row r="262" spans="1:14" ht="16.5" customHeight="1">
      <c r="A262" s="87" t="s">
        <v>448</v>
      </c>
      <c r="B262" s="164" t="s">
        <v>503</v>
      </c>
      <c r="C262" s="134" t="s">
        <v>443</v>
      </c>
      <c r="D262" s="134" t="s">
        <v>443</v>
      </c>
      <c r="E262" s="164"/>
      <c r="F262" s="132"/>
      <c r="G262" s="141">
        <f>G263+G266</f>
        <v>41046340.68</v>
      </c>
      <c r="H262" s="141">
        <f>H263+H266</f>
        <v>28400000</v>
      </c>
      <c r="I262" s="141">
        <f>I263+I266</f>
        <v>0</v>
      </c>
      <c r="J262" s="10"/>
      <c r="K262" s="2"/>
      <c r="L262" s="2"/>
      <c r="M262" s="2"/>
      <c r="N262" s="2"/>
    </row>
    <row r="263" spans="1:14" ht="16.5" customHeight="1">
      <c r="A263" s="87" t="s">
        <v>372</v>
      </c>
      <c r="B263" s="164" t="s">
        <v>503</v>
      </c>
      <c r="C263" s="134" t="s">
        <v>443</v>
      </c>
      <c r="D263" s="134" t="s">
        <v>443</v>
      </c>
      <c r="E263" s="142">
        <v>1300000000</v>
      </c>
      <c r="F263" s="175"/>
      <c r="G263" s="145">
        <f>G264</f>
        <v>38277708.68</v>
      </c>
      <c r="H263" s="145">
        <f>H264</f>
        <v>28400000</v>
      </c>
      <c r="I263" s="145">
        <f>I264</f>
        <v>0</v>
      </c>
      <c r="J263" s="10"/>
      <c r="K263" s="2"/>
      <c r="L263" s="2"/>
      <c r="M263" s="2"/>
      <c r="N263" s="2"/>
    </row>
    <row r="264" spans="1:14" ht="45.75" customHeight="1">
      <c r="A264" s="71" t="s">
        <v>373</v>
      </c>
      <c r="B264" s="164" t="s">
        <v>503</v>
      </c>
      <c r="C264" s="143" t="s">
        <v>443</v>
      </c>
      <c r="D264" s="143" t="s">
        <v>443</v>
      </c>
      <c r="E264" s="161">
        <v>1320000000</v>
      </c>
      <c r="F264" s="162"/>
      <c r="G264" s="145">
        <f>G265</f>
        <v>38277708.68</v>
      </c>
      <c r="H264" s="145">
        <f>H265</f>
        <v>28400000</v>
      </c>
      <c r="I264" s="145">
        <f>I265</f>
        <v>0</v>
      </c>
      <c r="J264" s="10"/>
      <c r="K264" s="2"/>
      <c r="L264" s="2"/>
      <c r="M264" s="2"/>
      <c r="N264" s="2"/>
    </row>
    <row r="265" spans="1:14" ht="30.75" customHeight="1">
      <c r="A265" s="71" t="s">
        <v>265</v>
      </c>
      <c r="B265" s="164" t="s">
        <v>503</v>
      </c>
      <c r="C265" s="143" t="s">
        <v>443</v>
      </c>
      <c r="D265" s="143" t="s">
        <v>443</v>
      </c>
      <c r="E265" s="161">
        <v>1320000000</v>
      </c>
      <c r="F265" s="161">
        <v>200</v>
      </c>
      <c r="G265" s="145">
        <v>38277708.68</v>
      </c>
      <c r="H265" s="145">
        <v>28400000</v>
      </c>
      <c r="I265" s="145">
        <v>0</v>
      </c>
      <c r="J265" s="10"/>
      <c r="K265" s="2"/>
      <c r="L265" s="2"/>
      <c r="M265" s="2"/>
      <c r="N265" s="2"/>
    </row>
    <row r="266" spans="1:14" ht="16.5" customHeight="1">
      <c r="A266" s="87" t="s">
        <v>386</v>
      </c>
      <c r="B266" s="164" t="s">
        <v>503</v>
      </c>
      <c r="C266" s="134" t="s">
        <v>443</v>
      </c>
      <c r="D266" s="134" t="s">
        <v>443</v>
      </c>
      <c r="E266" s="134" t="s">
        <v>387</v>
      </c>
      <c r="F266" s="162"/>
      <c r="G266" s="141">
        <f>G267</f>
        <v>2768632</v>
      </c>
      <c r="H266" s="141">
        <f>H267</f>
        <v>0</v>
      </c>
      <c r="I266" s="141">
        <f>I267</f>
        <v>0</v>
      </c>
      <c r="J266" s="10"/>
      <c r="K266" s="2"/>
      <c r="L266" s="2"/>
      <c r="M266" s="2"/>
      <c r="N266" s="2"/>
    </row>
    <row r="267" spans="1:14" ht="16.5" customHeight="1">
      <c r="A267" s="71" t="s">
        <v>406</v>
      </c>
      <c r="B267" s="164" t="s">
        <v>503</v>
      </c>
      <c r="C267" s="143" t="s">
        <v>443</v>
      </c>
      <c r="D267" s="143" t="s">
        <v>443</v>
      </c>
      <c r="E267" s="143" t="s">
        <v>407</v>
      </c>
      <c r="F267" s="162"/>
      <c r="G267" s="145">
        <f>G268</f>
        <v>2768632</v>
      </c>
      <c r="H267" s="145">
        <f>H268</f>
        <v>0</v>
      </c>
      <c r="I267" s="145">
        <f>I268</f>
        <v>0</v>
      </c>
      <c r="J267" s="10"/>
      <c r="K267" s="2"/>
      <c r="L267" s="2"/>
      <c r="M267" s="2"/>
      <c r="N267" s="2"/>
    </row>
    <row r="268" spans="1:14" ht="30.75" customHeight="1">
      <c r="A268" s="71" t="s">
        <v>265</v>
      </c>
      <c r="B268" s="164" t="s">
        <v>503</v>
      </c>
      <c r="C268" s="143" t="s">
        <v>443</v>
      </c>
      <c r="D268" s="143" t="s">
        <v>443</v>
      </c>
      <c r="E268" s="143" t="s">
        <v>407</v>
      </c>
      <c r="F268" s="161">
        <v>200</v>
      </c>
      <c r="G268" s="145">
        <v>2768632</v>
      </c>
      <c r="H268" s="145">
        <v>0</v>
      </c>
      <c r="I268" s="145">
        <v>0</v>
      </c>
      <c r="J268" s="10"/>
      <c r="K268" s="2"/>
      <c r="L268" s="2"/>
      <c r="M268" s="2"/>
      <c r="N268" s="2"/>
    </row>
    <row r="269" spans="1:14" ht="16.5" customHeight="1">
      <c r="A269" s="87" t="s">
        <v>449</v>
      </c>
      <c r="B269" s="164" t="s">
        <v>503</v>
      </c>
      <c r="C269" s="134" t="s">
        <v>422</v>
      </c>
      <c r="D269" s="134"/>
      <c r="E269" s="134"/>
      <c r="F269" s="134"/>
      <c r="G269" s="135">
        <f>G270+G277+G290+G306</f>
        <v>114370087.85</v>
      </c>
      <c r="H269" s="135">
        <f>H270+H277+H290+H306</f>
        <v>92821576.39</v>
      </c>
      <c r="I269" s="135">
        <f>I270+I277+I290+I306</f>
        <v>95967838.01</v>
      </c>
      <c r="J269" s="10"/>
      <c r="K269" s="2"/>
      <c r="L269" s="2"/>
      <c r="M269" s="2"/>
      <c r="N269" s="2"/>
    </row>
    <row r="270" spans="1:14" ht="16.5" customHeight="1">
      <c r="A270" s="87" t="s">
        <v>450</v>
      </c>
      <c r="B270" s="164" t="s">
        <v>503</v>
      </c>
      <c r="C270" s="134" t="s">
        <v>422</v>
      </c>
      <c r="D270" s="134" t="s">
        <v>383</v>
      </c>
      <c r="E270" s="134"/>
      <c r="F270" s="134"/>
      <c r="G270" s="135">
        <f>G271+G274</f>
        <v>8398869.18</v>
      </c>
      <c r="H270" s="135">
        <f>H271+H274</f>
        <v>7421786.96</v>
      </c>
      <c r="I270" s="135">
        <f>I271+I274</f>
        <v>7661786.96</v>
      </c>
      <c r="J270" s="10"/>
      <c r="K270" s="2"/>
      <c r="L270" s="2"/>
      <c r="M270" s="2"/>
      <c r="N270" s="2"/>
    </row>
    <row r="271" spans="1:14" ht="16.5" customHeight="1">
      <c r="A271" s="87" t="s">
        <v>331</v>
      </c>
      <c r="B271" s="164" t="s">
        <v>503</v>
      </c>
      <c r="C271" s="134" t="s">
        <v>422</v>
      </c>
      <c r="D271" s="134" t="s">
        <v>383</v>
      </c>
      <c r="E271" s="134" t="s">
        <v>332</v>
      </c>
      <c r="F271" s="134"/>
      <c r="G271" s="135">
        <f>G272</f>
        <v>5008010</v>
      </c>
      <c r="H271" s="135">
        <f>H272</f>
        <v>4223000</v>
      </c>
      <c r="I271" s="135">
        <f>I272</f>
        <v>4223000</v>
      </c>
      <c r="J271" s="10"/>
      <c r="K271" s="2"/>
      <c r="L271" s="2"/>
      <c r="M271" s="2"/>
      <c r="N271" s="2"/>
    </row>
    <row r="272" spans="1:14" ht="30.75" customHeight="1">
      <c r="A272" s="71" t="s">
        <v>333</v>
      </c>
      <c r="B272" s="164" t="s">
        <v>503</v>
      </c>
      <c r="C272" s="143" t="s">
        <v>422</v>
      </c>
      <c r="D272" s="143" t="s">
        <v>383</v>
      </c>
      <c r="E272" s="143" t="s">
        <v>334</v>
      </c>
      <c r="F272" s="143"/>
      <c r="G272" s="137">
        <f>G273</f>
        <v>5008010</v>
      </c>
      <c r="H272" s="137">
        <f>H273</f>
        <v>4223000</v>
      </c>
      <c r="I272" s="137">
        <f>I273</f>
        <v>4223000</v>
      </c>
      <c r="J272" s="10"/>
      <c r="K272" s="2"/>
      <c r="L272" s="2"/>
      <c r="M272" s="2"/>
      <c r="N272" s="2"/>
    </row>
    <row r="273" spans="1:14" ht="16.5" customHeight="1">
      <c r="A273" s="71" t="s">
        <v>266</v>
      </c>
      <c r="B273" s="164" t="s">
        <v>503</v>
      </c>
      <c r="C273" s="143" t="s">
        <v>422</v>
      </c>
      <c r="D273" s="143" t="s">
        <v>383</v>
      </c>
      <c r="E273" s="143" t="s">
        <v>334</v>
      </c>
      <c r="F273" s="143" t="s">
        <v>335</v>
      </c>
      <c r="G273" s="137">
        <f>4091900+506916+409194</f>
        <v>5008010</v>
      </c>
      <c r="H273" s="137">
        <v>4223000</v>
      </c>
      <c r="I273" s="137">
        <v>4223000</v>
      </c>
      <c r="J273" s="10"/>
      <c r="K273" s="2"/>
      <c r="L273" s="2"/>
      <c r="M273" s="2"/>
      <c r="N273" s="2"/>
    </row>
    <row r="274" spans="1:14" ht="16.5" customHeight="1">
      <c r="A274" s="87" t="s">
        <v>386</v>
      </c>
      <c r="B274" s="164" t="s">
        <v>503</v>
      </c>
      <c r="C274" s="134" t="s">
        <v>422</v>
      </c>
      <c r="D274" s="134" t="s">
        <v>383</v>
      </c>
      <c r="E274" s="134" t="s">
        <v>387</v>
      </c>
      <c r="F274" s="134"/>
      <c r="G274" s="135">
        <f>G275</f>
        <v>3390859.18</v>
      </c>
      <c r="H274" s="135">
        <f>H275</f>
        <v>3198786.96</v>
      </c>
      <c r="I274" s="135">
        <f>I275</f>
        <v>3438786.96</v>
      </c>
      <c r="J274" s="10"/>
      <c r="K274" s="2"/>
      <c r="L274" s="2"/>
      <c r="M274" s="2"/>
      <c r="N274" s="2"/>
    </row>
    <row r="275" spans="1:14" ht="16.5" customHeight="1">
      <c r="A275" s="71" t="s">
        <v>406</v>
      </c>
      <c r="B275" s="164" t="s">
        <v>503</v>
      </c>
      <c r="C275" s="143" t="s">
        <v>422</v>
      </c>
      <c r="D275" s="143" t="s">
        <v>383</v>
      </c>
      <c r="E275" s="143" t="s">
        <v>407</v>
      </c>
      <c r="F275" s="143"/>
      <c r="G275" s="137">
        <f>G276</f>
        <v>3390859.18</v>
      </c>
      <c r="H275" s="137">
        <f>H276</f>
        <v>3198786.96</v>
      </c>
      <c r="I275" s="137">
        <f>I276</f>
        <v>3438786.96</v>
      </c>
      <c r="J275" s="10"/>
      <c r="K275" s="2"/>
      <c r="L275" s="2"/>
      <c r="M275" s="2"/>
      <c r="N275" s="2"/>
    </row>
    <row r="276" spans="1:14" ht="16.5" customHeight="1">
      <c r="A276" s="71" t="s">
        <v>266</v>
      </c>
      <c r="B276" s="164" t="s">
        <v>503</v>
      </c>
      <c r="C276" s="143" t="s">
        <v>422</v>
      </c>
      <c r="D276" s="143" t="s">
        <v>383</v>
      </c>
      <c r="E276" s="143" t="s">
        <v>407</v>
      </c>
      <c r="F276" s="143" t="s">
        <v>335</v>
      </c>
      <c r="G276" s="137">
        <v>3390859.18</v>
      </c>
      <c r="H276" s="137">
        <v>3198786.96</v>
      </c>
      <c r="I276" s="137">
        <v>3438786.96</v>
      </c>
      <c r="J276" s="10"/>
      <c r="K276" s="2"/>
      <c r="L276" s="2"/>
      <c r="M276" s="2"/>
      <c r="N276" s="2"/>
    </row>
    <row r="277" spans="1:14" ht="16.5" customHeight="1">
      <c r="A277" s="87" t="s">
        <v>452</v>
      </c>
      <c r="B277" s="164" t="s">
        <v>503</v>
      </c>
      <c r="C277" s="134" t="s">
        <v>422</v>
      </c>
      <c r="D277" s="134" t="s">
        <v>393</v>
      </c>
      <c r="E277" s="134"/>
      <c r="F277" s="134"/>
      <c r="G277" s="135">
        <f>G278+G282+G286</f>
        <v>54995697.74</v>
      </c>
      <c r="H277" s="135">
        <f>H278+H282+H286</f>
        <v>36900000</v>
      </c>
      <c r="I277" s="135">
        <f>I278+I282+I286</f>
        <v>36900000</v>
      </c>
      <c r="J277" s="10"/>
      <c r="K277" s="2"/>
      <c r="L277" s="2"/>
      <c r="M277" s="2"/>
      <c r="N277" s="2"/>
    </row>
    <row r="278" spans="1:14" ht="47.25" customHeight="1">
      <c r="A278" s="87" t="s">
        <v>338</v>
      </c>
      <c r="B278" s="164" t="s">
        <v>503</v>
      </c>
      <c r="C278" s="134" t="s">
        <v>422</v>
      </c>
      <c r="D278" s="134" t="s">
        <v>393</v>
      </c>
      <c r="E278" s="134" t="s">
        <v>339</v>
      </c>
      <c r="F278" s="134"/>
      <c r="G278" s="135">
        <f>G279</f>
        <v>25698990.32</v>
      </c>
      <c r="H278" s="135">
        <f>H279</f>
        <v>30900000</v>
      </c>
      <c r="I278" s="135">
        <f>I279</f>
        <v>30900000</v>
      </c>
      <c r="J278" s="10"/>
      <c r="K278" s="2"/>
      <c r="L278" s="2"/>
      <c r="M278" s="2"/>
      <c r="N278" s="2"/>
    </row>
    <row r="279" spans="1:14" ht="30.75" customHeight="1">
      <c r="A279" s="71" t="s">
        <v>342</v>
      </c>
      <c r="B279" s="164" t="s">
        <v>503</v>
      </c>
      <c r="C279" s="143" t="s">
        <v>422</v>
      </c>
      <c r="D279" s="143" t="s">
        <v>393</v>
      </c>
      <c r="E279" s="143" t="s">
        <v>343</v>
      </c>
      <c r="F279" s="143"/>
      <c r="G279" s="137">
        <f>G280+G281</f>
        <v>25698990.32</v>
      </c>
      <c r="H279" s="137">
        <f>H280+H281</f>
        <v>30900000</v>
      </c>
      <c r="I279" s="137">
        <f>I280+I281</f>
        <v>30900000</v>
      </c>
      <c r="J279" s="10"/>
      <c r="K279" s="2"/>
      <c r="L279" s="2"/>
      <c r="M279" s="2"/>
      <c r="N279" s="2"/>
    </row>
    <row r="280" spans="1:14" ht="16.5" customHeight="1">
      <c r="A280" s="71" t="s">
        <v>266</v>
      </c>
      <c r="B280" s="164" t="s">
        <v>503</v>
      </c>
      <c r="C280" s="143" t="s">
        <v>422</v>
      </c>
      <c r="D280" s="143" t="s">
        <v>393</v>
      </c>
      <c r="E280" s="143" t="s">
        <v>343</v>
      </c>
      <c r="F280" s="143" t="s">
        <v>335</v>
      </c>
      <c r="G280" s="137">
        <v>10298990.32</v>
      </c>
      <c r="H280" s="137">
        <v>15300000</v>
      </c>
      <c r="I280" s="137">
        <v>15300000</v>
      </c>
      <c r="J280" s="10"/>
      <c r="K280" s="2"/>
      <c r="L280" s="2"/>
      <c r="M280" s="2"/>
      <c r="N280" s="2"/>
    </row>
    <row r="281" spans="1:14" ht="30.75" customHeight="1">
      <c r="A281" s="71" t="s">
        <v>290</v>
      </c>
      <c r="B281" s="164" t="s">
        <v>503</v>
      </c>
      <c r="C281" s="143" t="s">
        <v>422</v>
      </c>
      <c r="D281" s="143" t="s">
        <v>393</v>
      </c>
      <c r="E281" s="143" t="s">
        <v>343</v>
      </c>
      <c r="F281" s="143" t="s">
        <v>344</v>
      </c>
      <c r="G281" s="137">
        <v>15400000</v>
      </c>
      <c r="H281" s="137">
        <v>15600000</v>
      </c>
      <c r="I281" s="137">
        <v>15600000</v>
      </c>
      <c r="J281" s="10"/>
      <c r="K281" s="2"/>
      <c r="L281" s="2"/>
      <c r="M281" s="2"/>
      <c r="N281" s="2"/>
    </row>
    <row r="282" spans="1:14" ht="47.25" customHeight="1">
      <c r="A282" s="87" t="s">
        <v>364</v>
      </c>
      <c r="B282" s="164" t="s">
        <v>503</v>
      </c>
      <c r="C282" s="134" t="s">
        <v>422</v>
      </c>
      <c r="D282" s="134" t="s">
        <v>393</v>
      </c>
      <c r="E282" s="134" t="s">
        <v>495</v>
      </c>
      <c r="F282" s="134"/>
      <c r="G282" s="135">
        <f>G283</f>
        <v>3487500</v>
      </c>
      <c r="H282" s="135">
        <f>H283</f>
        <v>6000000</v>
      </c>
      <c r="I282" s="135">
        <f>I283</f>
        <v>6000000</v>
      </c>
      <c r="J282" s="10"/>
      <c r="K282" s="2"/>
      <c r="L282" s="2"/>
      <c r="M282" s="2"/>
      <c r="N282" s="2"/>
    </row>
    <row r="283" spans="1:14" ht="16.5" customHeight="1">
      <c r="A283" s="71" t="s">
        <v>365</v>
      </c>
      <c r="B283" s="164" t="s">
        <v>503</v>
      </c>
      <c r="C283" s="143" t="s">
        <v>422</v>
      </c>
      <c r="D283" s="143" t="s">
        <v>393</v>
      </c>
      <c r="E283" s="143" t="s">
        <v>496</v>
      </c>
      <c r="F283" s="143"/>
      <c r="G283" s="137">
        <f>G284+G285</f>
        <v>3487500</v>
      </c>
      <c r="H283" s="137">
        <f>H284+H285</f>
        <v>6000000</v>
      </c>
      <c r="I283" s="137">
        <f>I284+I285</f>
        <v>6000000</v>
      </c>
      <c r="J283" s="10"/>
      <c r="K283" s="2"/>
      <c r="L283" s="2"/>
      <c r="M283" s="2"/>
      <c r="N283" s="2"/>
    </row>
    <row r="284" spans="1:14" ht="30.75" customHeight="1">
      <c r="A284" s="71" t="s">
        <v>265</v>
      </c>
      <c r="B284" s="164" t="s">
        <v>503</v>
      </c>
      <c r="C284" s="143" t="s">
        <v>422</v>
      </c>
      <c r="D284" s="143" t="s">
        <v>393</v>
      </c>
      <c r="E284" s="143" t="s">
        <v>496</v>
      </c>
      <c r="F284" s="143" t="s">
        <v>330</v>
      </c>
      <c r="G284" s="137">
        <v>80000</v>
      </c>
      <c r="H284" s="137">
        <v>300000</v>
      </c>
      <c r="I284" s="137">
        <v>300000</v>
      </c>
      <c r="J284" s="10"/>
      <c r="K284" s="2"/>
      <c r="L284" s="2"/>
      <c r="M284" s="2"/>
      <c r="N284" s="2"/>
    </row>
    <row r="285" spans="1:14" ht="30.75" customHeight="1">
      <c r="A285" s="71" t="s">
        <v>274</v>
      </c>
      <c r="B285" s="164" t="s">
        <v>503</v>
      </c>
      <c r="C285" s="143" t="s">
        <v>422</v>
      </c>
      <c r="D285" s="143" t="s">
        <v>393</v>
      </c>
      <c r="E285" s="143" t="s">
        <v>496</v>
      </c>
      <c r="F285" s="143" t="s">
        <v>417</v>
      </c>
      <c r="G285" s="137">
        <v>3407500</v>
      </c>
      <c r="H285" s="137">
        <v>5700000</v>
      </c>
      <c r="I285" s="137">
        <v>5700000</v>
      </c>
      <c r="J285" s="10"/>
      <c r="K285" s="2"/>
      <c r="L285" s="2"/>
      <c r="M285" s="2"/>
      <c r="N285" s="2"/>
    </row>
    <row r="286" spans="1:14" ht="16.5" customHeight="1">
      <c r="A286" s="87" t="s">
        <v>386</v>
      </c>
      <c r="B286" s="164" t="s">
        <v>503</v>
      </c>
      <c r="C286" s="134" t="s">
        <v>422</v>
      </c>
      <c r="D286" s="134" t="s">
        <v>393</v>
      </c>
      <c r="E286" s="134" t="s">
        <v>407</v>
      </c>
      <c r="F286" s="134"/>
      <c r="G286" s="135">
        <f>G287</f>
        <v>25809207.42</v>
      </c>
      <c r="H286" s="135">
        <f>H287</f>
        <v>0</v>
      </c>
      <c r="I286" s="135">
        <f>I287</f>
        <v>0</v>
      </c>
      <c r="J286" s="10"/>
      <c r="K286" s="2"/>
      <c r="L286" s="2"/>
      <c r="M286" s="2"/>
      <c r="N286" s="2"/>
    </row>
    <row r="287" spans="1:14" ht="18" customHeight="1">
      <c r="A287" s="71" t="s">
        <v>406</v>
      </c>
      <c r="B287" s="164" t="s">
        <v>503</v>
      </c>
      <c r="C287" s="143" t="s">
        <v>422</v>
      </c>
      <c r="D287" s="143" t="s">
        <v>393</v>
      </c>
      <c r="E287" s="143" t="s">
        <v>407</v>
      </c>
      <c r="F287" s="143"/>
      <c r="G287" s="137">
        <f>SUM(G288:G289)</f>
        <v>25809207.42</v>
      </c>
      <c r="H287" s="137">
        <f>SUM(H288:H289)</f>
        <v>0</v>
      </c>
      <c r="I287" s="137">
        <f>SUM(I288:I289)</f>
        <v>0</v>
      </c>
      <c r="J287" s="10"/>
      <c r="K287" s="2"/>
      <c r="L287" s="2"/>
      <c r="M287" s="2"/>
      <c r="N287" s="2"/>
    </row>
    <row r="288" spans="1:14" ht="18" customHeight="1">
      <c r="A288" s="71" t="s">
        <v>265</v>
      </c>
      <c r="B288" s="164" t="s">
        <v>503</v>
      </c>
      <c r="C288" s="143" t="s">
        <v>422</v>
      </c>
      <c r="D288" s="143" t="s">
        <v>393</v>
      </c>
      <c r="E288" s="143" t="s">
        <v>407</v>
      </c>
      <c r="F288" s="143" t="s">
        <v>330</v>
      </c>
      <c r="G288" s="137">
        <v>6990.78</v>
      </c>
      <c r="H288" s="137">
        <v>0</v>
      </c>
      <c r="I288" s="137">
        <v>0</v>
      </c>
      <c r="J288" s="10"/>
      <c r="K288" s="2"/>
      <c r="L288" s="2"/>
      <c r="M288" s="2"/>
      <c r="N288" s="2"/>
    </row>
    <row r="289" spans="1:14" ht="30.75" customHeight="1">
      <c r="A289" s="71" t="s">
        <v>290</v>
      </c>
      <c r="B289" s="164" t="s">
        <v>503</v>
      </c>
      <c r="C289" s="143" t="s">
        <v>422</v>
      </c>
      <c r="D289" s="143" t="s">
        <v>393</v>
      </c>
      <c r="E289" s="143" t="s">
        <v>407</v>
      </c>
      <c r="F289" s="143" t="s">
        <v>344</v>
      </c>
      <c r="G289" s="137">
        <v>25802216.64</v>
      </c>
      <c r="H289" s="137">
        <v>0</v>
      </c>
      <c r="I289" s="137">
        <v>0</v>
      </c>
      <c r="J289" s="10"/>
      <c r="K289" s="2"/>
      <c r="L289" s="2"/>
      <c r="M289" s="2"/>
      <c r="N289" s="2"/>
    </row>
    <row r="290" spans="1:14" ht="16.5" customHeight="1">
      <c r="A290" s="87" t="s">
        <v>455</v>
      </c>
      <c r="B290" s="164" t="s">
        <v>503</v>
      </c>
      <c r="C290" s="134" t="s">
        <v>422</v>
      </c>
      <c r="D290" s="134" t="s">
        <v>397</v>
      </c>
      <c r="E290" s="134"/>
      <c r="F290" s="134"/>
      <c r="G290" s="135">
        <f>G291+G295+G299+G302</f>
        <v>40253948.39</v>
      </c>
      <c r="H290" s="135">
        <f>H291+H295+H299+H302</f>
        <v>37241943.77</v>
      </c>
      <c r="I290" s="135">
        <f>I291+I295+I299+I302</f>
        <v>39100711.13</v>
      </c>
      <c r="J290" s="10"/>
      <c r="K290" s="2"/>
      <c r="L290" s="2"/>
      <c r="M290" s="2"/>
      <c r="N290" s="2"/>
    </row>
    <row r="291" spans="1:14" ht="47.25" customHeight="1">
      <c r="A291" s="87" t="s">
        <v>497</v>
      </c>
      <c r="B291" s="164" t="s">
        <v>503</v>
      </c>
      <c r="C291" s="134" t="s">
        <v>422</v>
      </c>
      <c r="D291" s="134" t="s">
        <v>397</v>
      </c>
      <c r="E291" s="164" t="s">
        <v>320</v>
      </c>
      <c r="F291" s="134"/>
      <c r="G291" s="135">
        <f>G292</f>
        <v>1882926.93</v>
      </c>
      <c r="H291" s="135">
        <f>H292</f>
        <v>2193113.77</v>
      </c>
      <c r="I291" s="135">
        <f>I292</f>
        <v>2233711.13</v>
      </c>
      <c r="J291" s="10"/>
      <c r="K291" s="2"/>
      <c r="L291" s="2"/>
      <c r="M291" s="2"/>
      <c r="N291" s="2"/>
    </row>
    <row r="292" spans="1:14" ht="16.5" customHeight="1">
      <c r="A292" s="71" t="s">
        <v>326</v>
      </c>
      <c r="B292" s="164" t="s">
        <v>503</v>
      </c>
      <c r="C292" s="143" t="s">
        <v>422</v>
      </c>
      <c r="D292" s="143" t="s">
        <v>397</v>
      </c>
      <c r="E292" s="163" t="s">
        <v>327</v>
      </c>
      <c r="F292" s="143"/>
      <c r="G292" s="137">
        <f>G293+G294</f>
        <v>1882926.93</v>
      </c>
      <c r="H292" s="137">
        <f>H293+H294</f>
        <v>2193113.77</v>
      </c>
      <c r="I292" s="137">
        <f>I293+I294</f>
        <v>2233711.13</v>
      </c>
      <c r="J292" s="10"/>
      <c r="K292" s="2"/>
      <c r="L292" s="2"/>
      <c r="M292" s="2"/>
      <c r="N292" s="2"/>
    </row>
    <row r="293" spans="1:14" ht="30.75" customHeight="1">
      <c r="A293" s="71" t="s">
        <v>265</v>
      </c>
      <c r="B293" s="164" t="s">
        <v>503</v>
      </c>
      <c r="C293" s="143" t="s">
        <v>422</v>
      </c>
      <c r="D293" s="143" t="s">
        <v>397</v>
      </c>
      <c r="E293" s="163" t="s">
        <v>327</v>
      </c>
      <c r="F293" s="143" t="s">
        <v>330</v>
      </c>
      <c r="G293" s="137">
        <v>1020208.93</v>
      </c>
      <c r="H293" s="137">
        <v>1318401.77</v>
      </c>
      <c r="I293" s="137">
        <v>1358999.13</v>
      </c>
      <c r="J293" s="10"/>
      <c r="K293" s="2"/>
      <c r="L293" s="2"/>
      <c r="M293" s="2"/>
      <c r="N293" s="2"/>
    </row>
    <row r="294" spans="1:14" ht="16.5" customHeight="1">
      <c r="A294" s="71" t="s">
        <v>266</v>
      </c>
      <c r="B294" s="164" t="s">
        <v>503</v>
      </c>
      <c r="C294" s="143" t="s">
        <v>422</v>
      </c>
      <c r="D294" s="143" t="s">
        <v>397</v>
      </c>
      <c r="E294" s="163" t="s">
        <v>327</v>
      </c>
      <c r="F294" s="143" t="s">
        <v>335</v>
      </c>
      <c r="G294" s="137">
        <v>862718</v>
      </c>
      <c r="H294" s="137">
        <v>874712</v>
      </c>
      <c r="I294" s="137">
        <v>874712</v>
      </c>
      <c r="J294" s="10"/>
      <c r="K294" s="2"/>
      <c r="L294" s="2"/>
      <c r="M294" s="2"/>
      <c r="N294" s="2"/>
    </row>
    <row r="295" spans="1:14" ht="16.5" customHeight="1">
      <c r="A295" s="87" t="s">
        <v>331</v>
      </c>
      <c r="B295" s="164" t="s">
        <v>503</v>
      </c>
      <c r="C295" s="134" t="s">
        <v>422</v>
      </c>
      <c r="D295" s="134" t="s">
        <v>397</v>
      </c>
      <c r="E295" s="134" t="s">
        <v>332</v>
      </c>
      <c r="F295" s="134"/>
      <c r="G295" s="135">
        <f>G296</f>
        <v>1982000.62</v>
      </c>
      <c r="H295" s="135">
        <f>H296</f>
        <v>1948830</v>
      </c>
      <c r="I295" s="135">
        <f>I296</f>
        <v>2067000</v>
      </c>
      <c r="J295" s="10"/>
      <c r="K295" s="2"/>
      <c r="L295" s="2"/>
      <c r="M295" s="2"/>
      <c r="N295" s="2"/>
    </row>
    <row r="296" spans="1:14" ht="30.75" customHeight="1">
      <c r="A296" s="71" t="s">
        <v>333</v>
      </c>
      <c r="B296" s="164" t="s">
        <v>503</v>
      </c>
      <c r="C296" s="143" t="s">
        <v>422</v>
      </c>
      <c r="D296" s="143" t="s">
        <v>397</v>
      </c>
      <c r="E296" s="143" t="s">
        <v>334</v>
      </c>
      <c r="F296" s="143"/>
      <c r="G296" s="137">
        <f>SUM(G297:G298)</f>
        <v>1982000.62</v>
      </c>
      <c r="H296" s="137">
        <f>SUM(H297:H298)</f>
        <v>1948830</v>
      </c>
      <c r="I296" s="137">
        <f>SUM(I297:I298)</f>
        <v>2067000</v>
      </c>
      <c r="J296" s="10"/>
      <c r="K296" s="2"/>
      <c r="L296" s="2"/>
      <c r="M296" s="2"/>
      <c r="N296" s="2"/>
    </row>
    <row r="297" spans="1:14" ht="30.75" customHeight="1">
      <c r="A297" s="71" t="s">
        <v>265</v>
      </c>
      <c r="B297" s="164" t="s">
        <v>503</v>
      </c>
      <c r="C297" s="143" t="s">
        <v>422</v>
      </c>
      <c r="D297" s="143" t="s">
        <v>397</v>
      </c>
      <c r="E297" s="143" t="s">
        <v>334</v>
      </c>
      <c r="F297" s="143" t="s">
        <v>330</v>
      </c>
      <c r="G297" s="137">
        <v>193999.92</v>
      </c>
      <c r="H297" s="137">
        <v>194000</v>
      </c>
      <c r="I297" s="137">
        <v>194000</v>
      </c>
      <c r="J297" s="10"/>
      <c r="K297" s="2"/>
      <c r="L297" s="2"/>
      <c r="M297" s="2"/>
      <c r="N297" s="2"/>
    </row>
    <row r="298" spans="1:14" ht="16.5" customHeight="1">
      <c r="A298" s="71" t="s">
        <v>266</v>
      </c>
      <c r="B298" s="164" t="s">
        <v>503</v>
      </c>
      <c r="C298" s="143" t="s">
        <v>422</v>
      </c>
      <c r="D298" s="143" t="s">
        <v>397</v>
      </c>
      <c r="E298" s="143" t="s">
        <v>334</v>
      </c>
      <c r="F298" s="143" t="s">
        <v>335</v>
      </c>
      <c r="G298" s="137">
        <v>1788000.7</v>
      </c>
      <c r="H298" s="137">
        <v>1754830</v>
      </c>
      <c r="I298" s="137">
        <v>1873000</v>
      </c>
      <c r="J298" s="10"/>
      <c r="K298" s="2"/>
      <c r="L298" s="2"/>
      <c r="M298" s="2"/>
      <c r="N298" s="2"/>
    </row>
    <row r="299" spans="1:14" ht="47.25" customHeight="1">
      <c r="A299" s="87" t="s">
        <v>338</v>
      </c>
      <c r="B299" s="164" t="s">
        <v>503</v>
      </c>
      <c r="C299" s="134" t="s">
        <v>422</v>
      </c>
      <c r="D299" s="134" t="s">
        <v>397</v>
      </c>
      <c r="E299" s="134" t="s">
        <v>339</v>
      </c>
      <c r="F299" s="134"/>
      <c r="G299" s="135">
        <f>G300</f>
        <v>23577121.84</v>
      </c>
      <c r="H299" s="135">
        <f>H300</f>
        <v>24100000</v>
      </c>
      <c r="I299" s="135">
        <f>I300</f>
        <v>25800000</v>
      </c>
      <c r="J299" s="10"/>
      <c r="K299" s="2"/>
      <c r="L299" s="2"/>
      <c r="M299" s="2"/>
      <c r="N299" s="2"/>
    </row>
    <row r="300" spans="1:14" ht="30.75" customHeight="1">
      <c r="A300" s="71" t="s">
        <v>342</v>
      </c>
      <c r="B300" s="164" t="s">
        <v>503</v>
      </c>
      <c r="C300" s="143" t="s">
        <v>422</v>
      </c>
      <c r="D300" s="143" t="s">
        <v>397</v>
      </c>
      <c r="E300" s="143" t="s">
        <v>343</v>
      </c>
      <c r="F300" s="143"/>
      <c r="G300" s="137">
        <f>G301</f>
        <v>23577121.84</v>
      </c>
      <c r="H300" s="137">
        <f>H301</f>
        <v>24100000</v>
      </c>
      <c r="I300" s="137">
        <f>I301</f>
        <v>25800000</v>
      </c>
      <c r="J300" s="10"/>
      <c r="K300" s="2"/>
      <c r="L300" s="2"/>
      <c r="M300" s="2"/>
      <c r="N300" s="2"/>
    </row>
    <row r="301" spans="1:14" ht="16.5" customHeight="1">
      <c r="A301" s="71" t="s">
        <v>266</v>
      </c>
      <c r="B301" s="164" t="s">
        <v>503</v>
      </c>
      <c r="C301" s="143" t="s">
        <v>422</v>
      </c>
      <c r="D301" s="143" t="s">
        <v>397</v>
      </c>
      <c r="E301" s="143" t="s">
        <v>343</v>
      </c>
      <c r="F301" s="143" t="s">
        <v>335</v>
      </c>
      <c r="G301" s="137">
        <f>22800000+1282360.26-505238.42</f>
        <v>23577121.84</v>
      </c>
      <c r="H301" s="137">
        <v>24100000</v>
      </c>
      <c r="I301" s="137">
        <v>25800000</v>
      </c>
      <c r="J301" s="10"/>
      <c r="K301" s="2"/>
      <c r="L301" s="2"/>
      <c r="M301" s="2"/>
      <c r="N301" s="2"/>
    </row>
    <row r="302" spans="1:14" ht="16.5" customHeight="1">
      <c r="A302" s="87" t="s">
        <v>386</v>
      </c>
      <c r="B302" s="164" t="s">
        <v>503</v>
      </c>
      <c r="C302" s="134" t="s">
        <v>422</v>
      </c>
      <c r="D302" s="134" t="s">
        <v>397</v>
      </c>
      <c r="E302" s="134" t="s">
        <v>387</v>
      </c>
      <c r="F302" s="134"/>
      <c r="G302" s="135">
        <f>G303</f>
        <v>12811899</v>
      </c>
      <c r="H302" s="135">
        <f>H303</f>
        <v>9000000</v>
      </c>
      <c r="I302" s="135">
        <f>I303</f>
        <v>9000000</v>
      </c>
      <c r="J302" s="10"/>
      <c r="K302" s="2"/>
      <c r="L302" s="2"/>
      <c r="M302" s="2"/>
      <c r="N302" s="2"/>
    </row>
    <row r="303" spans="1:14" ht="16.5" customHeight="1">
      <c r="A303" s="71" t="s">
        <v>406</v>
      </c>
      <c r="B303" s="164" t="s">
        <v>503</v>
      </c>
      <c r="C303" s="143" t="s">
        <v>422</v>
      </c>
      <c r="D303" s="143" t="s">
        <v>397</v>
      </c>
      <c r="E303" s="143" t="s">
        <v>407</v>
      </c>
      <c r="F303" s="143"/>
      <c r="G303" s="137">
        <f>G304+G305</f>
        <v>12811899</v>
      </c>
      <c r="H303" s="137">
        <f>H304+H305</f>
        <v>9000000</v>
      </c>
      <c r="I303" s="137">
        <f>I304+I305</f>
        <v>9000000</v>
      </c>
      <c r="J303" s="10"/>
      <c r="K303" s="2"/>
      <c r="L303" s="2"/>
      <c r="M303" s="2"/>
      <c r="N303" s="2"/>
    </row>
    <row r="304" spans="1:14" ht="30.75" customHeight="1">
      <c r="A304" s="71" t="s">
        <v>265</v>
      </c>
      <c r="B304" s="164" t="s">
        <v>503</v>
      </c>
      <c r="C304" s="143" t="s">
        <v>422</v>
      </c>
      <c r="D304" s="143" t="s">
        <v>397</v>
      </c>
      <c r="E304" s="143" t="s">
        <v>407</v>
      </c>
      <c r="F304" s="143" t="s">
        <v>330</v>
      </c>
      <c r="G304" s="137">
        <v>144722</v>
      </c>
      <c r="H304" s="137">
        <v>131823</v>
      </c>
      <c r="I304" s="137">
        <v>131823</v>
      </c>
      <c r="J304" s="10"/>
      <c r="K304" s="2"/>
      <c r="L304" s="2"/>
      <c r="M304" s="2"/>
      <c r="N304" s="2"/>
    </row>
    <row r="305" spans="1:14" ht="16.5" customHeight="1">
      <c r="A305" s="71" t="s">
        <v>266</v>
      </c>
      <c r="B305" s="164" t="s">
        <v>503</v>
      </c>
      <c r="C305" s="143" t="s">
        <v>422</v>
      </c>
      <c r="D305" s="143" t="s">
        <v>397</v>
      </c>
      <c r="E305" s="143" t="s">
        <v>407</v>
      </c>
      <c r="F305" s="143" t="s">
        <v>335</v>
      </c>
      <c r="G305" s="137">
        <v>12667177</v>
      </c>
      <c r="H305" s="137">
        <v>8868177</v>
      </c>
      <c r="I305" s="137">
        <v>8868177</v>
      </c>
      <c r="J305" s="10"/>
      <c r="K305" s="2"/>
      <c r="L305" s="2"/>
      <c r="M305" s="2"/>
      <c r="N305" s="2"/>
    </row>
    <row r="306" spans="1:14" ht="16.5" customHeight="1">
      <c r="A306" s="87" t="s">
        <v>456</v>
      </c>
      <c r="B306" s="164" t="s">
        <v>503</v>
      </c>
      <c r="C306" s="134" t="s">
        <v>422</v>
      </c>
      <c r="D306" s="134" t="s">
        <v>401</v>
      </c>
      <c r="E306" s="134"/>
      <c r="F306" s="134"/>
      <c r="G306" s="135">
        <f>G307+G314+G319</f>
        <v>10721572.54</v>
      </c>
      <c r="H306" s="135">
        <f>H307+H314+H319</f>
        <v>11257845.66</v>
      </c>
      <c r="I306" s="135">
        <f>I307+I314+I319</f>
        <v>12305339.92</v>
      </c>
      <c r="J306" s="10"/>
      <c r="K306" s="2"/>
      <c r="L306" s="2"/>
      <c r="M306" s="2"/>
      <c r="N306" s="2"/>
    </row>
    <row r="307" spans="1:14" ht="16.5" customHeight="1">
      <c r="A307" s="87" t="s">
        <v>331</v>
      </c>
      <c r="B307" s="164" t="s">
        <v>503</v>
      </c>
      <c r="C307" s="134" t="s">
        <v>422</v>
      </c>
      <c r="D307" s="134" t="s">
        <v>401</v>
      </c>
      <c r="E307" s="134" t="s">
        <v>332</v>
      </c>
      <c r="F307" s="134"/>
      <c r="G307" s="135">
        <f>G308+G310</f>
        <v>2336422.31</v>
      </c>
      <c r="H307" s="135">
        <f>H308+H310</f>
        <v>4220272.59</v>
      </c>
      <c r="I307" s="135">
        <f>I308+I310</f>
        <v>5176791.85</v>
      </c>
      <c r="J307" s="10"/>
      <c r="K307" s="2"/>
      <c r="L307" s="2"/>
      <c r="M307" s="2"/>
      <c r="N307" s="2"/>
    </row>
    <row r="308" spans="1:14" ht="30.75" customHeight="1">
      <c r="A308" s="71" t="s">
        <v>333</v>
      </c>
      <c r="B308" s="164" t="s">
        <v>503</v>
      </c>
      <c r="C308" s="143" t="s">
        <v>422</v>
      </c>
      <c r="D308" s="143" t="s">
        <v>401</v>
      </c>
      <c r="E308" s="143" t="s">
        <v>334</v>
      </c>
      <c r="F308" s="143"/>
      <c r="G308" s="137">
        <f>G309</f>
        <v>1932772.31</v>
      </c>
      <c r="H308" s="137">
        <f>H309</f>
        <v>2616000</v>
      </c>
      <c r="I308" s="137">
        <f>I309</f>
        <v>2700000</v>
      </c>
      <c r="J308" s="10"/>
      <c r="K308" s="2"/>
      <c r="L308" s="2"/>
      <c r="M308" s="2"/>
      <c r="N308" s="2"/>
    </row>
    <row r="309" spans="1:14" ht="16.5" customHeight="1">
      <c r="A309" s="71" t="s">
        <v>266</v>
      </c>
      <c r="B309" s="164" t="s">
        <v>503</v>
      </c>
      <c r="C309" s="143" t="s">
        <v>422</v>
      </c>
      <c r="D309" s="143" t="s">
        <v>401</v>
      </c>
      <c r="E309" s="143" t="s">
        <v>334</v>
      </c>
      <c r="F309" s="143" t="s">
        <v>335</v>
      </c>
      <c r="G309" s="137">
        <f>2831100-689327.69-9000-200000</f>
        <v>1932772.31</v>
      </c>
      <c r="H309" s="137">
        <v>2616000</v>
      </c>
      <c r="I309" s="137">
        <v>2700000</v>
      </c>
      <c r="J309" s="10"/>
      <c r="K309" s="2"/>
      <c r="L309" s="2"/>
      <c r="M309" s="2"/>
      <c r="N309" s="2"/>
    </row>
    <row r="310" spans="1:14" ht="16.5" customHeight="1">
      <c r="A310" s="71" t="s">
        <v>336</v>
      </c>
      <c r="B310" s="164" t="s">
        <v>503</v>
      </c>
      <c r="C310" s="143" t="s">
        <v>422</v>
      </c>
      <c r="D310" s="143" t="s">
        <v>401</v>
      </c>
      <c r="E310" s="143" t="s">
        <v>337</v>
      </c>
      <c r="F310" s="143"/>
      <c r="G310" s="137">
        <f>SUM(G311:G313)</f>
        <v>403650</v>
      </c>
      <c r="H310" s="137">
        <f>SUM(H311:H313)</f>
        <v>1604272.59</v>
      </c>
      <c r="I310" s="137">
        <f>SUM(I311:I313)</f>
        <v>2476791.85</v>
      </c>
      <c r="J310" s="10"/>
      <c r="K310" s="2"/>
      <c r="L310" s="2"/>
      <c r="M310" s="2"/>
      <c r="N310" s="2"/>
    </row>
    <row r="311" spans="1:14" ht="75.75" customHeight="1">
      <c r="A311" s="71" t="s">
        <v>264</v>
      </c>
      <c r="B311" s="164" t="s">
        <v>503</v>
      </c>
      <c r="C311" s="143" t="s">
        <v>422</v>
      </c>
      <c r="D311" s="143" t="s">
        <v>401</v>
      </c>
      <c r="E311" s="143" t="s">
        <v>337</v>
      </c>
      <c r="F311" s="143" t="s">
        <v>299</v>
      </c>
      <c r="G311" s="137">
        <v>0</v>
      </c>
      <c r="H311" s="137">
        <v>128843.64</v>
      </c>
      <c r="I311" s="137">
        <v>0</v>
      </c>
      <c r="J311" s="10"/>
      <c r="K311" s="2"/>
      <c r="L311" s="2"/>
      <c r="M311" s="2"/>
      <c r="N311" s="2"/>
    </row>
    <row r="312" spans="1:14" ht="30.75" customHeight="1">
      <c r="A312" s="71" t="s">
        <v>265</v>
      </c>
      <c r="B312" s="164" t="s">
        <v>503</v>
      </c>
      <c r="C312" s="143" t="s">
        <v>422</v>
      </c>
      <c r="D312" s="143" t="s">
        <v>401</v>
      </c>
      <c r="E312" s="143" t="s">
        <v>337</v>
      </c>
      <c r="F312" s="143" t="s">
        <v>330</v>
      </c>
      <c r="G312" s="137">
        <v>403650</v>
      </c>
      <c r="H312" s="137">
        <v>1235428.95</v>
      </c>
      <c r="I312" s="137">
        <v>2476791.85</v>
      </c>
      <c r="J312" s="10"/>
      <c r="K312" s="2"/>
      <c r="L312" s="2"/>
      <c r="M312" s="2"/>
      <c r="N312" s="2"/>
    </row>
    <row r="313" spans="1:14" ht="16.5" customHeight="1">
      <c r="A313" s="71" t="s">
        <v>266</v>
      </c>
      <c r="B313" s="164" t="s">
        <v>503</v>
      </c>
      <c r="C313" s="143" t="s">
        <v>422</v>
      </c>
      <c r="D313" s="143" t="s">
        <v>401</v>
      </c>
      <c r="E313" s="143" t="s">
        <v>337</v>
      </c>
      <c r="F313" s="143" t="s">
        <v>335</v>
      </c>
      <c r="G313" s="137">
        <v>0</v>
      </c>
      <c r="H313" s="137">
        <v>240000</v>
      </c>
      <c r="I313" s="137">
        <v>0</v>
      </c>
      <c r="J313" s="10"/>
      <c r="K313" s="2"/>
      <c r="L313" s="2"/>
      <c r="M313" s="2"/>
      <c r="N313" s="2"/>
    </row>
    <row r="314" spans="1:14" ht="31.5" customHeight="1">
      <c r="A314" s="87" t="s">
        <v>498</v>
      </c>
      <c r="B314" s="164" t="s">
        <v>503</v>
      </c>
      <c r="C314" s="134" t="s">
        <v>422</v>
      </c>
      <c r="D314" s="134" t="s">
        <v>401</v>
      </c>
      <c r="E314" s="134" t="s">
        <v>361</v>
      </c>
      <c r="F314" s="134"/>
      <c r="G314" s="135">
        <f>G315</f>
        <v>1207677.04</v>
      </c>
      <c r="H314" s="135">
        <f>H315</f>
        <v>2995900</v>
      </c>
      <c r="I314" s="135">
        <f>I315</f>
        <v>2995900</v>
      </c>
      <c r="J314" s="10"/>
      <c r="K314" s="2"/>
      <c r="L314" s="2"/>
      <c r="M314" s="2"/>
      <c r="N314" s="2"/>
    </row>
    <row r="315" spans="1:14" ht="30" customHeight="1">
      <c r="A315" s="170" t="s">
        <v>362</v>
      </c>
      <c r="B315" s="164" t="s">
        <v>503</v>
      </c>
      <c r="C315" s="143" t="s">
        <v>422</v>
      </c>
      <c r="D315" s="143" t="s">
        <v>401</v>
      </c>
      <c r="E315" s="143" t="s">
        <v>363</v>
      </c>
      <c r="F315" s="143"/>
      <c r="G315" s="137">
        <f>SUM(G316:G318)</f>
        <v>1207677.04</v>
      </c>
      <c r="H315" s="137">
        <f>SUM(H316:H318)</f>
        <v>2995900</v>
      </c>
      <c r="I315" s="137">
        <f>SUM(I316:I318)</f>
        <v>2995900</v>
      </c>
      <c r="J315" s="10"/>
      <c r="K315" s="2"/>
      <c r="L315" s="2"/>
      <c r="M315" s="2"/>
      <c r="N315" s="2"/>
    </row>
    <row r="316" spans="1:14" ht="75" customHeight="1">
      <c r="A316" s="170" t="s">
        <v>264</v>
      </c>
      <c r="B316" s="164" t="s">
        <v>503</v>
      </c>
      <c r="C316" s="143" t="s">
        <v>422</v>
      </c>
      <c r="D316" s="143" t="s">
        <v>401</v>
      </c>
      <c r="E316" s="143" t="s">
        <v>363</v>
      </c>
      <c r="F316" s="143" t="s">
        <v>299</v>
      </c>
      <c r="G316" s="137">
        <v>0</v>
      </c>
      <c r="H316" s="137">
        <v>127200</v>
      </c>
      <c r="I316" s="137">
        <v>127200</v>
      </c>
      <c r="J316" s="10"/>
      <c r="K316" s="2"/>
      <c r="L316" s="2"/>
      <c r="M316" s="2"/>
      <c r="N316" s="2"/>
    </row>
    <row r="317" spans="1:14" ht="30.75" customHeight="1">
      <c r="A317" s="71" t="s">
        <v>265</v>
      </c>
      <c r="B317" s="164" t="s">
        <v>503</v>
      </c>
      <c r="C317" s="143" t="s">
        <v>422</v>
      </c>
      <c r="D317" s="143" t="s">
        <v>401</v>
      </c>
      <c r="E317" s="143" t="s">
        <v>363</v>
      </c>
      <c r="F317" s="143" t="s">
        <v>330</v>
      </c>
      <c r="G317" s="137">
        <v>745111.04</v>
      </c>
      <c r="H317" s="137">
        <v>1004200</v>
      </c>
      <c r="I317" s="137">
        <v>1004200</v>
      </c>
      <c r="J317" s="10"/>
      <c r="K317" s="2"/>
      <c r="L317" s="2"/>
      <c r="M317" s="2"/>
      <c r="N317" s="2"/>
    </row>
    <row r="318" spans="1:14" ht="16.5" customHeight="1">
      <c r="A318" s="71" t="s">
        <v>266</v>
      </c>
      <c r="B318" s="164" t="s">
        <v>503</v>
      </c>
      <c r="C318" s="143" t="s">
        <v>422</v>
      </c>
      <c r="D318" s="143" t="s">
        <v>401</v>
      </c>
      <c r="E318" s="143" t="s">
        <v>363</v>
      </c>
      <c r="F318" s="143" t="s">
        <v>335</v>
      </c>
      <c r="G318" s="137">
        <v>462566</v>
      </c>
      <c r="H318" s="137">
        <v>1864500</v>
      </c>
      <c r="I318" s="137">
        <v>1864500</v>
      </c>
      <c r="J318" s="10"/>
      <c r="K318" s="2"/>
      <c r="L318" s="2"/>
      <c r="M318" s="2"/>
      <c r="N318" s="2"/>
    </row>
    <row r="319" spans="1:14" ht="16.5" customHeight="1">
      <c r="A319" s="87" t="s">
        <v>386</v>
      </c>
      <c r="B319" s="164" t="s">
        <v>503</v>
      </c>
      <c r="C319" s="134" t="s">
        <v>422</v>
      </c>
      <c r="D319" s="134" t="s">
        <v>401</v>
      </c>
      <c r="E319" s="134" t="s">
        <v>387</v>
      </c>
      <c r="F319" s="143"/>
      <c r="G319" s="135">
        <f>G320+G322</f>
        <v>7177473.19</v>
      </c>
      <c r="H319" s="135">
        <f>H320+H322</f>
        <v>4041673.07</v>
      </c>
      <c r="I319" s="135">
        <f>I320+I322</f>
        <v>4132648.07</v>
      </c>
      <c r="J319" s="10"/>
      <c r="K319" s="2"/>
      <c r="L319" s="2"/>
      <c r="M319" s="2"/>
      <c r="N319" s="2"/>
    </row>
    <row r="320" spans="1:14" ht="30.75" customHeight="1">
      <c r="A320" s="71" t="s">
        <v>388</v>
      </c>
      <c r="B320" s="164" t="s">
        <v>503</v>
      </c>
      <c r="C320" s="143" t="s">
        <v>422</v>
      </c>
      <c r="D320" s="143" t="s">
        <v>401</v>
      </c>
      <c r="E320" s="143" t="s">
        <v>389</v>
      </c>
      <c r="F320" s="143"/>
      <c r="G320" s="137">
        <f>G321</f>
        <v>3271220.81</v>
      </c>
      <c r="H320" s="137">
        <f>H321</f>
        <v>2798348.07</v>
      </c>
      <c r="I320" s="137">
        <f>I321</f>
        <v>2798348.07</v>
      </c>
      <c r="J320" s="10"/>
      <c r="K320" s="2"/>
      <c r="L320" s="2"/>
      <c r="M320" s="2"/>
      <c r="N320" s="2"/>
    </row>
    <row r="321" spans="1:14" ht="75.75" customHeight="1">
      <c r="A321" s="71" t="s">
        <v>264</v>
      </c>
      <c r="B321" s="164" t="s">
        <v>503</v>
      </c>
      <c r="C321" s="143" t="s">
        <v>422</v>
      </c>
      <c r="D321" s="143" t="s">
        <v>401</v>
      </c>
      <c r="E321" s="143" t="s">
        <v>389</v>
      </c>
      <c r="F321" s="143" t="s">
        <v>299</v>
      </c>
      <c r="G321" s="137">
        <v>3271220.81</v>
      </c>
      <c r="H321" s="137">
        <v>2798348.07</v>
      </c>
      <c r="I321" s="137">
        <v>2798348.07</v>
      </c>
      <c r="J321" s="10"/>
      <c r="K321" s="2"/>
      <c r="L321" s="2"/>
      <c r="M321" s="2"/>
      <c r="N321" s="2"/>
    </row>
    <row r="322" spans="1:14" ht="16.5" customHeight="1">
      <c r="A322" s="71" t="s">
        <v>406</v>
      </c>
      <c r="B322" s="164" t="s">
        <v>503</v>
      </c>
      <c r="C322" s="143" t="s">
        <v>422</v>
      </c>
      <c r="D322" s="143" t="s">
        <v>401</v>
      </c>
      <c r="E322" s="143" t="s">
        <v>407</v>
      </c>
      <c r="F322" s="143"/>
      <c r="G322" s="137">
        <f>SUM(G323:G324)</f>
        <v>3906252.38</v>
      </c>
      <c r="H322" s="137">
        <f>SUM(H323:H324)</f>
        <v>1243325</v>
      </c>
      <c r="I322" s="137">
        <f>SUM(I323:I324)</f>
        <v>1334300</v>
      </c>
      <c r="J322" s="10"/>
      <c r="K322" s="2"/>
      <c r="L322" s="2"/>
      <c r="M322" s="2"/>
      <c r="N322" s="2"/>
    </row>
    <row r="323" spans="1:14" ht="30.75" customHeight="1">
      <c r="A323" s="71" t="s">
        <v>265</v>
      </c>
      <c r="B323" s="164" t="s">
        <v>503</v>
      </c>
      <c r="C323" s="143" t="s">
        <v>422</v>
      </c>
      <c r="D323" s="143" t="s">
        <v>401</v>
      </c>
      <c r="E323" s="143" t="s">
        <v>407</v>
      </c>
      <c r="F323" s="143" t="s">
        <v>330</v>
      </c>
      <c r="G323" s="137">
        <v>11847.38</v>
      </c>
      <c r="H323" s="137">
        <v>0</v>
      </c>
      <c r="I323" s="137">
        <v>0</v>
      </c>
      <c r="J323" s="10"/>
      <c r="K323" s="2"/>
      <c r="L323" s="2"/>
      <c r="M323" s="2"/>
      <c r="N323" s="2"/>
    </row>
    <row r="324" spans="1:14" ht="16.5" customHeight="1">
      <c r="A324" s="71" t="s">
        <v>266</v>
      </c>
      <c r="B324" s="164" t="s">
        <v>503</v>
      </c>
      <c r="C324" s="143" t="s">
        <v>422</v>
      </c>
      <c r="D324" s="143" t="s">
        <v>401</v>
      </c>
      <c r="E324" s="143" t="s">
        <v>407</v>
      </c>
      <c r="F324" s="143" t="s">
        <v>335</v>
      </c>
      <c r="G324" s="137">
        <v>3894405</v>
      </c>
      <c r="H324" s="137">
        <v>1243325</v>
      </c>
      <c r="I324" s="137">
        <v>1334300</v>
      </c>
      <c r="J324" s="10"/>
      <c r="K324" s="2"/>
      <c r="L324" s="2"/>
      <c r="M324" s="2"/>
      <c r="N324" s="2"/>
    </row>
    <row r="325" spans="1:14" ht="16.5" customHeight="1">
      <c r="A325" s="87" t="s">
        <v>457</v>
      </c>
      <c r="B325" s="164" t="s">
        <v>503</v>
      </c>
      <c r="C325" s="134" t="s">
        <v>412</v>
      </c>
      <c r="D325" s="134"/>
      <c r="E325" s="134"/>
      <c r="F325" s="134"/>
      <c r="G325" s="135">
        <f>G326+G341</f>
        <v>165151156.4</v>
      </c>
      <c r="H325" s="135">
        <f>H326+H341</f>
        <v>132422275.45</v>
      </c>
      <c r="I325" s="135">
        <f>I326+I341</f>
        <v>133338261.46</v>
      </c>
      <c r="J325" s="10"/>
      <c r="K325" s="2"/>
      <c r="L325" s="2"/>
      <c r="M325" s="2"/>
      <c r="N325" s="2"/>
    </row>
    <row r="326" spans="1:14" ht="16.5" customHeight="1">
      <c r="A326" s="87" t="s">
        <v>458</v>
      </c>
      <c r="B326" s="164" t="s">
        <v>503</v>
      </c>
      <c r="C326" s="134" t="s">
        <v>412</v>
      </c>
      <c r="D326" s="134" t="s">
        <v>383</v>
      </c>
      <c r="E326" s="134"/>
      <c r="F326" s="134"/>
      <c r="G326" s="135">
        <f>G327+G336</f>
        <v>157223748.98</v>
      </c>
      <c r="H326" s="135">
        <f>H327+H336</f>
        <v>124422275.45</v>
      </c>
      <c r="I326" s="135">
        <f>I327+I336</f>
        <v>125338261.46</v>
      </c>
      <c r="J326" s="10"/>
      <c r="K326" s="2"/>
      <c r="L326" s="2"/>
      <c r="M326" s="2"/>
      <c r="N326" s="2"/>
    </row>
    <row r="327" spans="1:14" ht="31.5" customHeight="1">
      <c r="A327" s="87" t="s">
        <v>353</v>
      </c>
      <c r="B327" s="164" t="s">
        <v>503</v>
      </c>
      <c r="C327" s="134" t="s">
        <v>412</v>
      </c>
      <c r="D327" s="134" t="s">
        <v>383</v>
      </c>
      <c r="E327" s="134" t="s">
        <v>354</v>
      </c>
      <c r="F327" s="134"/>
      <c r="G327" s="135">
        <f>G328+G333</f>
        <v>120328175.25</v>
      </c>
      <c r="H327" s="135">
        <f>H328+H333</f>
        <v>124422275.45</v>
      </c>
      <c r="I327" s="135">
        <f>I328+I333</f>
        <v>125338261.46</v>
      </c>
      <c r="J327" s="10"/>
      <c r="K327" s="2"/>
      <c r="L327" s="2"/>
      <c r="M327" s="2"/>
      <c r="N327" s="2"/>
    </row>
    <row r="328" spans="1:14" ht="16.5" customHeight="1">
      <c r="A328" s="71" t="s">
        <v>262</v>
      </c>
      <c r="B328" s="164" t="s">
        <v>503</v>
      </c>
      <c r="C328" s="143" t="s">
        <v>412</v>
      </c>
      <c r="D328" s="143" t="s">
        <v>383</v>
      </c>
      <c r="E328" s="143" t="s">
        <v>355</v>
      </c>
      <c r="F328" s="143"/>
      <c r="G328" s="137">
        <f>SUM(G329:G332)</f>
        <v>113762292.25</v>
      </c>
      <c r="H328" s="137">
        <f>SUM(H329:H332)</f>
        <v>116422275.45</v>
      </c>
      <c r="I328" s="137">
        <f>SUM(I329:I332)</f>
        <v>117338261.46</v>
      </c>
      <c r="J328" s="10"/>
      <c r="K328" s="2"/>
      <c r="L328" s="2"/>
      <c r="M328" s="2"/>
      <c r="N328" s="2"/>
    </row>
    <row r="329" spans="1:14" ht="75.75" customHeight="1">
      <c r="A329" s="71" t="s">
        <v>264</v>
      </c>
      <c r="B329" s="164" t="s">
        <v>503</v>
      </c>
      <c r="C329" s="143" t="s">
        <v>412</v>
      </c>
      <c r="D329" s="143" t="s">
        <v>383</v>
      </c>
      <c r="E329" s="143" t="s">
        <v>355</v>
      </c>
      <c r="F329" s="143" t="s">
        <v>299</v>
      </c>
      <c r="G329" s="137">
        <v>87101612.24</v>
      </c>
      <c r="H329" s="137">
        <v>89253765.46</v>
      </c>
      <c r="I329" s="137">
        <v>89253765.46</v>
      </c>
      <c r="J329" s="10"/>
      <c r="K329" s="2"/>
      <c r="L329" s="2"/>
      <c r="M329" s="2"/>
      <c r="N329" s="2"/>
    </row>
    <row r="330" spans="1:14" ht="30.75" customHeight="1">
      <c r="A330" s="71" t="s">
        <v>265</v>
      </c>
      <c r="B330" s="164" t="s">
        <v>503</v>
      </c>
      <c r="C330" s="143" t="s">
        <v>412</v>
      </c>
      <c r="D330" s="143" t="s">
        <v>383</v>
      </c>
      <c r="E330" s="143" t="s">
        <v>355</v>
      </c>
      <c r="F330" s="143" t="s">
        <v>330</v>
      </c>
      <c r="G330" s="137">
        <v>23065043.22</v>
      </c>
      <c r="H330" s="137">
        <v>23672873.2</v>
      </c>
      <c r="I330" s="137">
        <v>24588859.21</v>
      </c>
      <c r="J330" s="10"/>
      <c r="K330" s="2"/>
      <c r="L330" s="2"/>
      <c r="M330" s="2"/>
      <c r="N330" s="2"/>
    </row>
    <row r="331" spans="1:14" ht="16.5" customHeight="1">
      <c r="A331" s="71" t="s">
        <v>266</v>
      </c>
      <c r="B331" s="164" t="s">
        <v>503</v>
      </c>
      <c r="C331" s="143" t="s">
        <v>412</v>
      </c>
      <c r="D331" s="143" t="s">
        <v>383</v>
      </c>
      <c r="E331" s="143" t="s">
        <v>355</v>
      </c>
      <c r="F331" s="143" t="s">
        <v>335</v>
      </c>
      <c r="G331" s="137">
        <v>100000</v>
      </c>
      <c r="H331" s="137">
        <v>0</v>
      </c>
      <c r="I331" s="137">
        <v>0</v>
      </c>
      <c r="J331" s="10"/>
      <c r="K331" s="2"/>
      <c r="L331" s="2"/>
      <c r="M331" s="2"/>
      <c r="N331" s="2"/>
    </row>
    <row r="332" spans="1:14" ht="16.5" customHeight="1">
      <c r="A332" s="71" t="s">
        <v>267</v>
      </c>
      <c r="B332" s="164" t="s">
        <v>503</v>
      </c>
      <c r="C332" s="143" t="s">
        <v>412</v>
      </c>
      <c r="D332" s="143" t="s">
        <v>383</v>
      </c>
      <c r="E332" s="143" t="s">
        <v>355</v>
      </c>
      <c r="F332" s="143" t="s">
        <v>306</v>
      </c>
      <c r="G332" s="137">
        <v>3495636.79</v>
      </c>
      <c r="H332" s="137">
        <v>3495636.79</v>
      </c>
      <c r="I332" s="137">
        <v>3495636.79</v>
      </c>
      <c r="J332" s="10"/>
      <c r="K332" s="2"/>
      <c r="L332" s="2"/>
      <c r="M332" s="2"/>
      <c r="N332" s="2"/>
    </row>
    <row r="333" spans="1:14" ht="16.5" customHeight="1">
      <c r="A333" s="71" t="s">
        <v>358</v>
      </c>
      <c r="B333" s="164" t="s">
        <v>503</v>
      </c>
      <c r="C333" s="143" t="s">
        <v>412</v>
      </c>
      <c r="D333" s="143" t="s">
        <v>383</v>
      </c>
      <c r="E333" s="143" t="s">
        <v>359</v>
      </c>
      <c r="F333" s="143"/>
      <c r="G333" s="137">
        <f>SUM(G334:G335)</f>
        <v>6565883</v>
      </c>
      <c r="H333" s="137">
        <f>SUM(H334:H335)</f>
        <v>8000000</v>
      </c>
      <c r="I333" s="137">
        <f>SUM(I334:I335)</f>
        <v>8000000</v>
      </c>
      <c r="J333" s="10"/>
      <c r="K333" s="2"/>
      <c r="L333" s="2"/>
      <c r="M333" s="2"/>
      <c r="N333" s="2"/>
    </row>
    <row r="334" spans="1:14" ht="75.75" customHeight="1">
      <c r="A334" s="71" t="s">
        <v>264</v>
      </c>
      <c r="B334" s="164" t="s">
        <v>503</v>
      </c>
      <c r="C334" s="143" t="s">
        <v>412</v>
      </c>
      <c r="D334" s="143" t="s">
        <v>383</v>
      </c>
      <c r="E334" s="143" t="s">
        <v>359</v>
      </c>
      <c r="F334" s="143" t="s">
        <v>299</v>
      </c>
      <c r="G334" s="137">
        <v>4797297</v>
      </c>
      <c r="H334" s="137">
        <v>7000000</v>
      </c>
      <c r="I334" s="137">
        <v>7000000</v>
      </c>
      <c r="J334" s="10"/>
      <c r="K334" s="2"/>
      <c r="L334" s="2"/>
      <c r="M334" s="2"/>
      <c r="N334" s="2"/>
    </row>
    <row r="335" spans="1:14" ht="30.75" customHeight="1">
      <c r="A335" s="71" t="s">
        <v>265</v>
      </c>
      <c r="B335" s="164" t="s">
        <v>503</v>
      </c>
      <c r="C335" s="143" t="s">
        <v>412</v>
      </c>
      <c r="D335" s="143" t="s">
        <v>383</v>
      </c>
      <c r="E335" s="143" t="s">
        <v>359</v>
      </c>
      <c r="F335" s="143" t="s">
        <v>330</v>
      </c>
      <c r="G335" s="137">
        <v>1768586</v>
      </c>
      <c r="H335" s="137">
        <v>1000000</v>
      </c>
      <c r="I335" s="137">
        <v>1000000</v>
      </c>
      <c r="J335" s="10"/>
      <c r="K335" s="2"/>
      <c r="L335" s="2"/>
      <c r="M335" s="2"/>
      <c r="N335" s="2"/>
    </row>
    <row r="336" spans="1:14" ht="16.5" customHeight="1">
      <c r="A336" s="87" t="s">
        <v>386</v>
      </c>
      <c r="B336" s="164" t="s">
        <v>503</v>
      </c>
      <c r="C336" s="134" t="s">
        <v>412</v>
      </c>
      <c r="D336" s="134" t="s">
        <v>383</v>
      </c>
      <c r="E336" s="134" t="s">
        <v>387</v>
      </c>
      <c r="F336" s="134"/>
      <c r="G336" s="135">
        <f>G337</f>
        <v>36895573.73</v>
      </c>
      <c r="H336" s="135">
        <f>H337</f>
        <v>0</v>
      </c>
      <c r="I336" s="135">
        <f>I337</f>
        <v>0</v>
      </c>
      <c r="J336" s="10"/>
      <c r="K336" s="2"/>
      <c r="L336" s="2"/>
      <c r="M336" s="2"/>
      <c r="N336" s="2"/>
    </row>
    <row r="337" spans="1:14" ht="16.5" customHeight="1">
      <c r="A337" s="71" t="s">
        <v>406</v>
      </c>
      <c r="B337" s="164" t="s">
        <v>503</v>
      </c>
      <c r="C337" s="143" t="s">
        <v>412</v>
      </c>
      <c r="D337" s="143" t="s">
        <v>383</v>
      </c>
      <c r="E337" s="143" t="s">
        <v>407</v>
      </c>
      <c r="F337" s="143"/>
      <c r="G337" s="137">
        <f>SUM(G338:G340)</f>
        <v>36895573.73</v>
      </c>
      <c r="H337" s="137">
        <f>SUM(H338:H340)</f>
        <v>0</v>
      </c>
      <c r="I337" s="137">
        <f>SUM(I338:I340)</f>
        <v>0</v>
      </c>
      <c r="J337" s="10"/>
      <c r="K337" s="2"/>
      <c r="L337" s="2"/>
      <c r="M337" s="2"/>
      <c r="N337" s="2"/>
    </row>
    <row r="338" spans="1:14" ht="30.75" customHeight="1">
      <c r="A338" s="71" t="s">
        <v>265</v>
      </c>
      <c r="B338" s="164" t="s">
        <v>503</v>
      </c>
      <c r="C338" s="143" t="s">
        <v>412</v>
      </c>
      <c r="D338" s="143" t="s">
        <v>383</v>
      </c>
      <c r="E338" s="143" t="s">
        <v>407</v>
      </c>
      <c r="F338" s="143" t="s">
        <v>330</v>
      </c>
      <c r="G338" s="137">
        <v>2052171.98</v>
      </c>
      <c r="H338" s="137">
        <v>0</v>
      </c>
      <c r="I338" s="137">
        <v>0</v>
      </c>
      <c r="J338" s="10"/>
      <c r="K338" s="2"/>
      <c r="L338" s="2"/>
      <c r="M338" s="2"/>
      <c r="N338" s="2"/>
    </row>
    <row r="339" spans="1:14" ht="16.5" customHeight="1">
      <c r="A339" s="71" t="s">
        <v>266</v>
      </c>
      <c r="B339" s="164" t="s">
        <v>503</v>
      </c>
      <c r="C339" s="143" t="s">
        <v>412</v>
      </c>
      <c r="D339" s="143" t="s">
        <v>383</v>
      </c>
      <c r="E339" s="143" t="s">
        <v>407</v>
      </c>
      <c r="F339" s="143" t="s">
        <v>335</v>
      </c>
      <c r="G339" s="137">
        <v>1284117</v>
      </c>
      <c r="H339" s="137">
        <v>0</v>
      </c>
      <c r="I339" s="137">
        <v>0</v>
      </c>
      <c r="J339" s="10"/>
      <c r="K339" s="2"/>
      <c r="L339" s="2"/>
      <c r="M339" s="2"/>
      <c r="N339" s="2"/>
    </row>
    <row r="340" spans="1:14" ht="30.75" customHeight="1">
      <c r="A340" s="71" t="s">
        <v>290</v>
      </c>
      <c r="B340" s="164" t="s">
        <v>503</v>
      </c>
      <c r="C340" s="143" t="s">
        <v>412</v>
      </c>
      <c r="D340" s="143" t="s">
        <v>383</v>
      </c>
      <c r="E340" s="143" t="s">
        <v>407</v>
      </c>
      <c r="F340" s="143" t="s">
        <v>344</v>
      </c>
      <c r="G340" s="137">
        <f>приложение4!F339</f>
        <v>33559284.75</v>
      </c>
      <c r="H340" s="137">
        <f>приложение4!G339</f>
        <v>0</v>
      </c>
      <c r="I340" s="137">
        <f>приложение4!H339</f>
        <v>0</v>
      </c>
      <c r="J340" s="10"/>
      <c r="K340" s="2"/>
      <c r="L340" s="2"/>
      <c r="M340" s="2"/>
      <c r="N340" s="2"/>
    </row>
    <row r="341" spans="1:14" ht="16.5" customHeight="1">
      <c r="A341" s="87" t="s">
        <v>499</v>
      </c>
      <c r="B341" s="164" t="s">
        <v>503</v>
      </c>
      <c r="C341" s="134" t="s">
        <v>412</v>
      </c>
      <c r="D341" s="134" t="s">
        <v>385</v>
      </c>
      <c r="E341" s="134"/>
      <c r="F341" s="134"/>
      <c r="G341" s="135">
        <f>G342</f>
        <v>7927407.42</v>
      </c>
      <c r="H341" s="135">
        <f>H342</f>
        <v>8000000</v>
      </c>
      <c r="I341" s="135">
        <f>I342</f>
        <v>8000000</v>
      </c>
      <c r="J341" s="10"/>
      <c r="K341" s="2"/>
      <c r="L341" s="2"/>
      <c r="M341" s="2"/>
      <c r="N341" s="2"/>
    </row>
    <row r="342" spans="1:14" ht="31.5" customHeight="1">
      <c r="A342" s="87" t="s">
        <v>353</v>
      </c>
      <c r="B342" s="164" t="s">
        <v>503</v>
      </c>
      <c r="C342" s="134" t="s">
        <v>412</v>
      </c>
      <c r="D342" s="134" t="s">
        <v>385</v>
      </c>
      <c r="E342" s="134" t="s">
        <v>354</v>
      </c>
      <c r="F342" s="134"/>
      <c r="G342" s="135">
        <f>G343</f>
        <v>7927407.42</v>
      </c>
      <c r="H342" s="135">
        <f>H343</f>
        <v>8000000</v>
      </c>
      <c r="I342" s="135">
        <f>I343</f>
        <v>8000000</v>
      </c>
      <c r="J342" s="10"/>
      <c r="K342" s="2"/>
      <c r="L342" s="2"/>
      <c r="M342" s="2"/>
      <c r="N342" s="2"/>
    </row>
    <row r="343" spans="1:14" ht="16.5" customHeight="1">
      <c r="A343" s="71" t="s">
        <v>356</v>
      </c>
      <c r="B343" s="164" t="s">
        <v>503</v>
      </c>
      <c r="C343" s="143" t="s">
        <v>412</v>
      </c>
      <c r="D343" s="143" t="s">
        <v>385</v>
      </c>
      <c r="E343" s="143" t="s">
        <v>357</v>
      </c>
      <c r="F343" s="143"/>
      <c r="G343" s="137">
        <f>SUM(G344:G345)</f>
        <v>7927407.42</v>
      </c>
      <c r="H343" s="137">
        <f>SUM(H344:H345)</f>
        <v>8000000</v>
      </c>
      <c r="I343" s="137">
        <f>SUM(I344:I345)</f>
        <v>8000000</v>
      </c>
      <c r="J343" s="10"/>
      <c r="K343" s="2"/>
      <c r="L343" s="2"/>
      <c r="M343" s="2"/>
      <c r="N343" s="2"/>
    </row>
    <row r="344" spans="1:14" ht="75.75" customHeight="1">
      <c r="A344" s="71" t="s">
        <v>264</v>
      </c>
      <c r="B344" s="164" t="s">
        <v>503</v>
      </c>
      <c r="C344" s="143" t="s">
        <v>412</v>
      </c>
      <c r="D344" s="143" t="s">
        <v>385</v>
      </c>
      <c r="E344" s="143" t="s">
        <v>357</v>
      </c>
      <c r="F344" s="143" t="s">
        <v>299</v>
      </c>
      <c r="G344" s="137">
        <v>3297407.42</v>
      </c>
      <c r="H344" s="137">
        <v>6600000</v>
      </c>
      <c r="I344" s="137">
        <v>6600000</v>
      </c>
      <c r="J344" s="10"/>
      <c r="K344" s="2"/>
      <c r="L344" s="2"/>
      <c r="M344" s="2"/>
      <c r="N344" s="2"/>
    </row>
    <row r="345" spans="1:14" ht="30.75" customHeight="1">
      <c r="A345" s="71" t="s">
        <v>265</v>
      </c>
      <c r="B345" s="164" t="s">
        <v>503</v>
      </c>
      <c r="C345" s="143" t="s">
        <v>412</v>
      </c>
      <c r="D345" s="143" t="s">
        <v>385</v>
      </c>
      <c r="E345" s="143" t="s">
        <v>357</v>
      </c>
      <c r="F345" s="143" t="s">
        <v>330</v>
      </c>
      <c r="G345" s="137">
        <v>4630000</v>
      </c>
      <c r="H345" s="137">
        <v>1400000</v>
      </c>
      <c r="I345" s="137">
        <v>1400000</v>
      </c>
      <c r="J345" s="10"/>
      <c r="K345" s="2"/>
      <c r="L345" s="2"/>
      <c r="M345" s="2"/>
      <c r="N345" s="2"/>
    </row>
    <row r="346" spans="1:14" ht="63" customHeight="1">
      <c r="A346" s="12" t="s">
        <v>461</v>
      </c>
      <c r="B346" s="164" t="s">
        <v>503</v>
      </c>
      <c r="C346" s="176" t="s">
        <v>462</v>
      </c>
      <c r="D346" s="176"/>
      <c r="E346" s="176"/>
      <c r="F346" s="176"/>
      <c r="G346" s="13">
        <f>G347</f>
        <v>573425090.56</v>
      </c>
      <c r="H346" s="13">
        <f>H347</f>
        <v>0</v>
      </c>
      <c r="I346" s="13">
        <f>I347</f>
        <v>0</v>
      </c>
      <c r="J346" s="10"/>
      <c r="K346" s="2"/>
      <c r="L346" s="2"/>
      <c r="M346" s="2"/>
      <c r="N346" s="2"/>
    </row>
    <row r="347" spans="1:14" ht="31.5" customHeight="1">
      <c r="A347" s="12" t="s">
        <v>463</v>
      </c>
      <c r="B347" s="164" t="s">
        <v>503</v>
      </c>
      <c r="C347" s="176" t="s">
        <v>462</v>
      </c>
      <c r="D347" s="176" t="s">
        <v>393</v>
      </c>
      <c r="E347" s="176"/>
      <c r="F347" s="176"/>
      <c r="G347" s="13">
        <f>G348</f>
        <v>573425090.56</v>
      </c>
      <c r="H347" s="13">
        <f>H348</f>
        <v>0</v>
      </c>
      <c r="I347" s="13">
        <f>I348</f>
        <v>0</v>
      </c>
      <c r="J347" s="10"/>
      <c r="K347" s="2"/>
      <c r="L347" s="2"/>
      <c r="M347" s="2"/>
      <c r="N347" s="2"/>
    </row>
    <row r="348" spans="1:14" ht="16.5" customHeight="1">
      <c r="A348" s="87" t="s">
        <v>386</v>
      </c>
      <c r="B348" s="164" t="s">
        <v>503</v>
      </c>
      <c r="C348" s="176" t="s">
        <v>462</v>
      </c>
      <c r="D348" s="176" t="s">
        <v>393</v>
      </c>
      <c r="E348" s="176" t="s">
        <v>387</v>
      </c>
      <c r="F348" s="176"/>
      <c r="G348" s="13">
        <f>G349</f>
        <v>573425090.56</v>
      </c>
      <c r="H348" s="13">
        <f>H349</f>
        <v>0</v>
      </c>
      <c r="I348" s="13">
        <f>I349</f>
        <v>0</v>
      </c>
      <c r="J348" s="10"/>
      <c r="K348" s="2"/>
      <c r="L348" s="2"/>
      <c r="M348" s="2"/>
      <c r="N348" s="2"/>
    </row>
    <row r="349" spans="1:14" ht="16.5" customHeight="1">
      <c r="A349" s="71" t="s">
        <v>464</v>
      </c>
      <c r="B349" s="164" t="s">
        <v>503</v>
      </c>
      <c r="C349" s="176" t="s">
        <v>462</v>
      </c>
      <c r="D349" s="176" t="s">
        <v>393</v>
      </c>
      <c r="E349" s="176" t="s">
        <v>465</v>
      </c>
      <c r="F349" s="176"/>
      <c r="G349" s="13">
        <f>G350</f>
        <v>573425090.56</v>
      </c>
      <c r="H349" s="13">
        <f>H350</f>
        <v>0</v>
      </c>
      <c r="I349" s="13">
        <f>I350</f>
        <v>0</v>
      </c>
      <c r="J349" s="10"/>
      <c r="K349" s="2"/>
      <c r="L349" s="2"/>
      <c r="M349" s="2"/>
      <c r="N349" s="2"/>
    </row>
    <row r="350" spans="1:14" ht="16.5" customHeight="1">
      <c r="A350" s="177" t="s">
        <v>464</v>
      </c>
      <c r="B350" s="164" t="s">
        <v>503</v>
      </c>
      <c r="C350" s="23" t="s">
        <v>462</v>
      </c>
      <c r="D350" s="23" t="s">
        <v>393</v>
      </c>
      <c r="E350" s="23" t="s">
        <v>465</v>
      </c>
      <c r="F350" s="23" t="s">
        <v>468</v>
      </c>
      <c r="G350" s="16">
        <f>приложение4!F349</f>
        <v>573425090.56</v>
      </c>
      <c r="H350" s="16">
        <f>приложение4!G349</f>
        <v>0</v>
      </c>
      <c r="I350" s="16">
        <f>приложение4!H349</f>
        <v>0</v>
      </c>
      <c r="J350" s="10"/>
      <c r="K350" s="2"/>
      <c r="L350" s="2"/>
      <c r="M350" s="2"/>
      <c r="N350" s="2"/>
    </row>
  </sheetData>
  <mergeCells count="1">
    <mergeCell ref="A11:I11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50"/>
  <headerFooter alignWithMargins="0"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1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67.140625" style="181" customWidth="1"/>
    <col min="2" max="2" width="8.140625" style="181" customWidth="1"/>
    <col min="3" max="3" width="6.140625" style="181" customWidth="1"/>
    <col min="4" max="4" width="6.421875" style="181" customWidth="1"/>
    <col min="5" max="5" width="15.421875" style="181" customWidth="1"/>
    <col min="6" max="6" width="7.00390625" style="181" customWidth="1"/>
    <col min="7" max="7" width="14.421875" style="181" customWidth="1"/>
    <col min="8" max="8" width="19.28125" style="181" customWidth="1"/>
    <col min="9" max="9" width="19.7109375" style="181" customWidth="1"/>
    <col min="10" max="10" width="19.28125" style="181" customWidth="1"/>
    <col min="11" max="256" width="8.8515625" style="181" customWidth="1"/>
  </cols>
  <sheetData>
    <row r="1" spans="1:10" ht="13.5" customHeight="1">
      <c r="A1" s="2"/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.75" customHeight="1">
      <c r="A2" s="2"/>
      <c r="B2" s="116"/>
      <c r="C2" s="116"/>
      <c r="D2" s="116"/>
      <c r="E2" s="116"/>
      <c r="F2" s="116"/>
      <c r="G2" s="116"/>
      <c r="H2" s="116"/>
      <c r="I2" s="182" t="s">
        <v>504</v>
      </c>
      <c r="J2" s="116"/>
    </row>
    <row r="3" spans="1:10" ht="15.75" customHeight="1">
      <c r="A3" s="2"/>
      <c r="B3" s="116"/>
      <c r="C3" s="116"/>
      <c r="D3" s="116"/>
      <c r="E3" s="116"/>
      <c r="F3" s="116"/>
      <c r="G3" s="116"/>
      <c r="H3" s="116"/>
      <c r="I3" s="182" t="s">
        <v>377</v>
      </c>
      <c r="J3" s="116"/>
    </row>
    <row r="4" spans="1:10" ht="15.75" customHeight="1">
      <c r="A4" s="2"/>
      <c r="B4" s="116"/>
      <c r="C4" s="116"/>
      <c r="D4" s="116"/>
      <c r="E4" s="116"/>
      <c r="F4" s="116"/>
      <c r="G4" s="116"/>
      <c r="H4" s="116"/>
      <c r="I4" s="182" t="s">
        <v>2</v>
      </c>
      <c r="J4" s="183"/>
    </row>
    <row r="5" spans="1:10" ht="15.75" customHeight="1">
      <c r="A5" s="2"/>
      <c r="B5" s="116"/>
      <c r="C5" s="116"/>
      <c r="D5" s="116"/>
      <c r="E5" s="116"/>
      <c r="F5" s="116"/>
      <c r="G5" s="116"/>
      <c r="H5" s="116"/>
      <c r="I5" s="182" t="s">
        <v>3</v>
      </c>
      <c r="J5" s="183"/>
    </row>
    <row r="6" spans="1:10" ht="15.75" customHeight="1">
      <c r="A6" s="2"/>
      <c r="B6" s="116"/>
      <c r="C6" s="116"/>
      <c r="D6" s="116"/>
      <c r="E6" s="116"/>
      <c r="F6" s="116"/>
      <c r="G6" s="116"/>
      <c r="H6" s="116"/>
      <c r="I6" s="182" t="s">
        <v>4</v>
      </c>
      <c r="J6" s="183"/>
    </row>
    <row r="7" spans="1:10" ht="15.75" customHeight="1">
      <c r="A7" s="2"/>
      <c r="B7" s="116"/>
      <c r="C7" s="116"/>
      <c r="D7" s="116"/>
      <c r="E7" s="116"/>
      <c r="F7" s="116"/>
      <c r="G7" s="116"/>
      <c r="H7" s="116"/>
      <c r="I7" s="182" t="s">
        <v>253</v>
      </c>
      <c r="J7" s="183"/>
    </row>
    <row r="8" spans="1:10" ht="15.75" customHeight="1">
      <c r="A8" s="2"/>
      <c r="B8" s="116"/>
      <c r="C8" s="116"/>
      <c r="D8" s="116"/>
      <c r="E8" s="116"/>
      <c r="F8" s="116"/>
      <c r="G8" s="116"/>
      <c r="H8" s="116"/>
      <c r="I8" s="182" t="s">
        <v>254</v>
      </c>
      <c r="J8" s="183"/>
    </row>
    <row r="9" spans="1:10" ht="13.5" customHeight="1">
      <c r="A9" s="2"/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46.5" customHeight="1">
      <c r="A10" s="54" t="s">
        <v>505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3.5" customHeight="1">
      <c r="A11" s="7"/>
      <c r="B11" s="118"/>
      <c r="C11" s="118"/>
      <c r="D11" s="118"/>
      <c r="E11" s="118"/>
      <c r="F11" s="118"/>
      <c r="G11" s="118"/>
      <c r="H11" s="118"/>
      <c r="I11" s="118"/>
      <c r="J11" s="184" t="s">
        <v>506</v>
      </c>
    </row>
    <row r="12" spans="1:10" ht="60" customHeight="1">
      <c r="A12" s="9" t="s">
        <v>9</v>
      </c>
      <c r="B12" s="59" t="s">
        <v>507</v>
      </c>
      <c r="C12" s="59" t="s">
        <v>379</v>
      </c>
      <c r="D12" s="59" t="s">
        <v>508</v>
      </c>
      <c r="E12" s="59" t="s">
        <v>509</v>
      </c>
      <c r="F12" s="59" t="s">
        <v>258</v>
      </c>
      <c r="G12" s="59" t="s">
        <v>510</v>
      </c>
      <c r="H12" s="59" t="s">
        <v>10</v>
      </c>
      <c r="I12" s="59" t="s">
        <v>11</v>
      </c>
      <c r="J12" s="59" t="s">
        <v>12</v>
      </c>
    </row>
    <row r="13" spans="1:10" ht="15.75" customHeight="1">
      <c r="A13" s="22" t="s">
        <v>511</v>
      </c>
      <c r="B13" s="61"/>
      <c r="C13" s="61"/>
      <c r="D13" s="61"/>
      <c r="E13" s="61"/>
      <c r="F13" s="61"/>
      <c r="G13" s="61"/>
      <c r="H13" s="62">
        <f>H14</f>
        <v>1634890832.65</v>
      </c>
      <c r="I13" s="62">
        <f>I14</f>
        <v>1368247779.68</v>
      </c>
      <c r="J13" s="62">
        <f>J14</f>
        <v>1338092379.68</v>
      </c>
    </row>
    <row r="14" spans="1:10" ht="31.5" customHeight="1">
      <c r="A14" s="22" t="s">
        <v>502</v>
      </c>
      <c r="B14" s="185">
        <v>701</v>
      </c>
      <c r="C14" s="61"/>
      <c r="D14" s="61"/>
      <c r="E14" s="61"/>
      <c r="F14" s="61"/>
      <c r="G14" s="61"/>
      <c r="H14" s="62">
        <f>H15+H55+H81+H149+H166+H215+H225+H44</f>
        <v>1634890832.65</v>
      </c>
      <c r="I14" s="62">
        <f>I15+I55+I81+I149+I166+I215+I225+I44</f>
        <v>1368247779.68</v>
      </c>
      <c r="J14" s="62">
        <f>J15+J55+J81+J149+J166+J215+J225+J44</f>
        <v>1338092379.68</v>
      </c>
    </row>
    <row r="15" spans="1:10" ht="15.75" customHeight="1">
      <c r="A15" s="186" t="s">
        <v>382</v>
      </c>
      <c r="B15" s="187" t="s">
        <v>503</v>
      </c>
      <c r="C15" s="85" t="s">
        <v>383</v>
      </c>
      <c r="D15" s="85"/>
      <c r="E15" s="61"/>
      <c r="F15" s="61"/>
      <c r="G15" s="61"/>
      <c r="H15" s="62">
        <f>H16+H22+H27</f>
        <v>7829604.69</v>
      </c>
      <c r="I15" s="62">
        <f>I16+I22+I27</f>
        <v>3518294.78</v>
      </c>
      <c r="J15" s="62">
        <f>J16+J22+J27</f>
        <v>3518294.78</v>
      </c>
    </row>
    <row r="16" spans="1:10" ht="63" customHeight="1">
      <c r="A16" s="188" t="s">
        <v>396</v>
      </c>
      <c r="B16" s="189" t="s">
        <v>503</v>
      </c>
      <c r="C16" s="85" t="s">
        <v>383</v>
      </c>
      <c r="D16" s="91" t="s">
        <v>397</v>
      </c>
      <c r="E16" s="91"/>
      <c r="F16" s="190"/>
      <c r="G16" s="190"/>
      <c r="H16" s="62">
        <f>H17</f>
        <v>2769656.28</v>
      </c>
      <c r="I16" s="62">
        <f>I17</f>
        <v>0</v>
      </c>
      <c r="J16" s="62">
        <f>J17</f>
        <v>0</v>
      </c>
    </row>
    <row r="17" spans="1:10" ht="15.75" customHeight="1">
      <c r="A17" s="87" t="s">
        <v>386</v>
      </c>
      <c r="B17" s="85" t="s">
        <v>503</v>
      </c>
      <c r="C17" s="85" t="s">
        <v>383</v>
      </c>
      <c r="D17" s="91" t="s">
        <v>397</v>
      </c>
      <c r="E17" s="91" t="s">
        <v>387</v>
      </c>
      <c r="F17" s="190"/>
      <c r="G17" s="190"/>
      <c r="H17" s="62">
        <f>H18</f>
        <v>2769656.28</v>
      </c>
      <c r="I17" s="62">
        <f>I18</f>
        <v>0</v>
      </c>
      <c r="J17" s="62">
        <f>J18</f>
        <v>0</v>
      </c>
    </row>
    <row r="18" spans="1:10" ht="30" customHeight="1">
      <c r="A18" s="71" t="s">
        <v>512</v>
      </c>
      <c r="B18" s="59" t="s">
        <v>503</v>
      </c>
      <c r="C18" s="59" t="s">
        <v>383</v>
      </c>
      <c r="D18" s="92" t="s">
        <v>397</v>
      </c>
      <c r="E18" s="92" t="s">
        <v>389</v>
      </c>
      <c r="F18" s="92"/>
      <c r="G18" s="92"/>
      <c r="H18" s="98">
        <f>H19</f>
        <v>2769656.28</v>
      </c>
      <c r="I18" s="98">
        <f>I19</f>
        <v>0</v>
      </c>
      <c r="J18" s="98">
        <f>J19</f>
        <v>0</v>
      </c>
    </row>
    <row r="19" spans="1:10" ht="16.5" customHeight="1">
      <c r="A19" s="71" t="s">
        <v>398</v>
      </c>
      <c r="B19" s="59" t="s">
        <v>503</v>
      </c>
      <c r="C19" s="92" t="s">
        <v>383</v>
      </c>
      <c r="D19" s="92" t="s">
        <v>397</v>
      </c>
      <c r="E19" s="92" t="s">
        <v>399</v>
      </c>
      <c r="F19" s="92"/>
      <c r="G19" s="92"/>
      <c r="H19" s="98">
        <f>H20+H21</f>
        <v>2769656.28</v>
      </c>
      <c r="I19" s="98">
        <f>I20+I21</f>
        <v>0</v>
      </c>
      <c r="J19" s="98">
        <f>J20+J21</f>
        <v>0</v>
      </c>
    </row>
    <row r="20" spans="1:10" ht="60" customHeight="1">
      <c r="A20" s="71" t="s">
        <v>264</v>
      </c>
      <c r="B20" s="59" t="s">
        <v>503</v>
      </c>
      <c r="C20" s="59" t="s">
        <v>383</v>
      </c>
      <c r="D20" s="92" t="s">
        <v>397</v>
      </c>
      <c r="E20" s="92" t="s">
        <v>399</v>
      </c>
      <c r="F20" s="92" t="s">
        <v>299</v>
      </c>
      <c r="G20" s="99" t="s">
        <v>513</v>
      </c>
      <c r="H20" s="98">
        <f>2544115.84+147149.44</f>
        <v>2691265.28</v>
      </c>
      <c r="I20" s="29">
        <v>0</v>
      </c>
      <c r="J20" s="29">
        <v>0</v>
      </c>
    </row>
    <row r="21" spans="1:10" ht="30" customHeight="1">
      <c r="A21" s="71" t="s">
        <v>265</v>
      </c>
      <c r="B21" s="59" t="s">
        <v>503</v>
      </c>
      <c r="C21" s="92" t="s">
        <v>383</v>
      </c>
      <c r="D21" s="92" t="s">
        <v>397</v>
      </c>
      <c r="E21" s="92" t="s">
        <v>399</v>
      </c>
      <c r="F21" s="92" t="s">
        <v>330</v>
      </c>
      <c r="G21" s="99" t="s">
        <v>513</v>
      </c>
      <c r="H21" s="98">
        <f>225540.44-147149.44</f>
        <v>78391</v>
      </c>
      <c r="I21" s="29">
        <v>0</v>
      </c>
      <c r="J21" s="29">
        <v>0</v>
      </c>
    </row>
    <row r="22" spans="1:10" ht="47.25" customHeight="1">
      <c r="A22" s="87" t="s">
        <v>400</v>
      </c>
      <c r="B22" s="85" t="s">
        <v>503</v>
      </c>
      <c r="C22" s="91" t="s">
        <v>383</v>
      </c>
      <c r="D22" s="91" t="s">
        <v>401</v>
      </c>
      <c r="E22" s="91"/>
      <c r="F22" s="91"/>
      <c r="G22" s="91"/>
      <c r="H22" s="62">
        <f>H23</f>
        <v>778800</v>
      </c>
      <c r="I22" s="62">
        <f>I23</f>
        <v>0</v>
      </c>
      <c r="J22" s="62">
        <f>J23</f>
        <v>0</v>
      </c>
    </row>
    <row r="23" spans="1:10" ht="15.75" customHeight="1">
      <c r="A23" s="87" t="s">
        <v>386</v>
      </c>
      <c r="B23" s="85" t="s">
        <v>503</v>
      </c>
      <c r="C23" s="91" t="s">
        <v>383</v>
      </c>
      <c r="D23" s="91" t="s">
        <v>401</v>
      </c>
      <c r="E23" s="91" t="s">
        <v>387</v>
      </c>
      <c r="F23" s="91"/>
      <c r="G23" s="91"/>
      <c r="H23" s="62">
        <f>H24</f>
        <v>778800</v>
      </c>
      <c r="I23" s="62">
        <f>I24</f>
        <v>0</v>
      </c>
      <c r="J23" s="62">
        <f>J24</f>
        <v>0</v>
      </c>
    </row>
    <row r="24" spans="1:10" ht="30.75" customHeight="1">
      <c r="A24" s="71" t="s">
        <v>512</v>
      </c>
      <c r="B24" s="59" t="s">
        <v>503</v>
      </c>
      <c r="C24" s="92" t="s">
        <v>383</v>
      </c>
      <c r="D24" s="92" t="s">
        <v>401</v>
      </c>
      <c r="E24" s="92" t="s">
        <v>389</v>
      </c>
      <c r="F24" s="91"/>
      <c r="G24" s="91"/>
      <c r="H24" s="98">
        <f>H25</f>
        <v>778800</v>
      </c>
      <c r="I24" s="98">
        <f>I25</f>
        <v>0</v>
      </c>
      <c r="J24" s="98">
        <f>J25</f>
        <v>0</v>
      </c>
    </row>
    <row r="25" spans="1:10" ht="16.5" customHeight="1">
      <c r="A25" s="71" t="s">
        <v>398</v>
      </c>
      <c r="B25" s="59" t="s">
        <v>503</v>
      </c>
      <c r="C25" s="92" t="s">
        <v>383</v>
      </c>
      <c r="D25" s="92" t="s">
        <v>401</v>
      </c>
      <c r="E25" s="92" t="s">
        <v>399</v>
      </c>
      <c r="F25" s="92"/>
      <c r="G25" s="92"/>
      <c r="H25" s="98">
        <f>H26</f>
        <v>778800</v>
      </c>
      <c r="I25" s="98">
        <f>I26</f>
        <v>0</v>
      </c>
      <c r="J25" s="98">
        <f>J26</f>
        <v>0</v>
      </c>
    </row>
    <row r="26" spans="1:10" ht="30" customHeight="1">
      <c r="A26" s="71" t="s">
        <v>265</v>
      </c>
      <c r="B26" s="59" t="s">
        <v>503</v>
      </c>
      <c r="C26" s="92" t="s">
        <v>383</v>
      </c>
      <c r="D26" s="92" t="s">
        <v>401</v>
      </c>
      <c r="E26" s="92" t="s">
        <v>399</v>
      </c>
      <c r="F26" s="92" t="s">
        <v>330</v>
      </c>
      <c r="G26" s="99" t="s">
        <v>513</v>
      </c>
      <c r="H26" s="98">
        <v>778800</v>
      </c>
      <c r="I26" s="98">
        <v>0</v>
      </c>
      <c r="J26" s="29">
        <v>0</v>
      </c>
    </row>
    <row r="27" spans="1:10" ht="15.75" customHeight="1">
      <c r="A27" s="186" t="s">
        <v>415</v>
      </c>
      <c r="B27" s="85" t="s">
        <v>503</v>
      </c>
      <c r="C27" s="85" t="s">
        <v>383</v>
      </c>
      <c r="D27" s="85" t="s">
        <v>410</v>
      </c>
      <c r="E27" s="61"/>
      <c r="F27" s="61"/>
      <c r="G27" s="61"/>
      <c r="H27" s="62">
        <f>H32+H28</f>
        <v>4281148.41</v>
      </c>
      <c r="I27" s="62">
        <f>I32+I28</f>
        <v>3518294.78</v>
      </c>
      <c r="J27" s="62">
        <f>J32+J28</f>
        <v>3518294.78</v>
      </c>
    </row>
    <row r="28" spans="1:10" ht="31.5" customHeight="1">
      <c r="A28" s="87" t="s">
        <v>345</v>
      </c>
      <c r="B28" s="59" t="s">
        <v>503</v>
      </c>
      <c r="C28" s="91" t="s">
        <v>383</v>
      </c>
      <c r="D28" s="91" t="s">
        <v>410</v>
      </c>
      <c r="E28" s="91" t="s">
        <v>346</v>
      </c>
      <c r="F28" s="61"/>
      <c r="G28" s="61"/>
      <c r="H28" s="62">
        <f>H29</f>
        <v>220150</v>
      </c>
      <c r="I28" s="62">
        <f>I29</f>
        <v>0</v>
      </c>
      <c r="J28" s="62">
        <f>J29</f>
        <v>0</v>
      </c>
    </row>
    <row r="29" spans="1:10" ht="15.75" customHeight="1">
      <c r="A29" s="71" t="s">
        <v>262</v>
      </c>
      <c r="B29" s="59" t="s">
        <v>503</v>
      </c>
      <c r="C29" s="92" t="s">
        <v>383</v>
      </c>
      <c r="D29" s="92" t="s">
        <v>410</v>
      </c>
      <c r="E29" s="92" t="s">
        <v>347</v>
      </c>
      <c r="F29" s="61"/>
      <c r="G29" s="61"/>
      <c r="H29" s="98">
        <f>H30</f>
        <v>220150</v>
      </c>
      <c r="I29" s="98">
        <f>I30</f>
        <v>0</v>
      </c>
      <c r="J29" s="98">
        <f>J30</f>
        <v>0</v>
      </c>
    </row>
    <row r="30" spans="1:10" ht="30" customHeight="1">
      <c r="A30" s="71" t="s">
        <v>416</v>
      </c>
      <c r="B30" s="59" t="s">
        <v>503</v>
      </c>
      <c r="C30" s="92" t="s">
        <v>383</v>
      </c>
      <c r="D30" s="92" t="s">
        <v>410</v>
      </c>
      <c r="E30" s="92" t="s">
        <v>514</v>
      </c>
      <c r="F30" s="61"/>
      <c r="G30" s="61"/>
      <c r="H30" s="98">
        <f>H31</f>
        <v>220150</v>
      </c>
      <c r="I30" s="98">
        <f>I31</f>
        <v>0</v>
      </c>
      <c r="J30" s="98">
        <f>J31</f>
        <v>0</v>
      </c>
    </row>
    <row r="31" spans="1:10" ht="60" customHeight="1">
      <c r="A31" s="71" t="s">
        <v>264</v>
      </c>
      <c r="B31" s="59" t="s">
        <v>503</v>
      </c>
      <c r="C31" s="92" t="s">
        <v>383</v>
      </c>
      <c r="D31" s="92" t="s">
        <v>410</v>
      </c>
      <c r="E31" s="72">
        <v>3110022001</v>
      </c>
      <c r="F31" s="72">
        <v>100</v>
      </c>
      <c r="G31" s="59" t="s">
        <v>515</v>
      </c>
      <c r="H31" s="98">
        <v>220150</v>
      </c>
      <c r="I31" s="98">
        <v>0</v>
      </c>
      <c r="J31" s="98">
        <v>0</v>
      </c>
    </row>
    <row r="32" spans="1:10" ht="15.75" customHeight="1">
      <c r="A32" s="87" t="s">
        <v>386</v>
      </c>
      <c r="B32" s="85" t="s">
        <v>503</v>
      </c>
      <c r="C32" s="187" t="s">
        <v>383</v>
      </c>
      <c r="D32" s="187" t="s">
        <v>410</v>
      </c>
      <c r="E32" s="187" t="s">
        <v>387</v>
      </c>
      <c r="F32" s="187"/>
      <c r="G32" s="187"/>
      <c r="H32" s="88">
        <f>H33</f>
        <v>4060998.41</v>
      </c>
      <c r="I32" s="88">
        <f>I33</f>
        <v>3518294.78</v>
      </c>
      <c r="J32" s="88">
        <f>J33</f>
        <v>3518294.78</v>
      </c>
    </row>
    <row r="33" spans="1:10" ht="16.5" customHeight="1">
      <c r="A33" s="71" t="s">
        <v>406</v>
      </c>
      <c r="B33" s="59" t="s">
        <v>503</v>
      </c>
      <c r="C33" s="99" t="s">
        <v>383</v>
      </c>
      <c r="D33" s="99" t="s">
        <v>410</v>
      </c>
      <c r="E33" s="99" t="s">
        <v>407</v>
      </c>
      <c r="F33" s="99"/>
      <c r="G33" s="99"/>
      <c r="H33" s="191">
        <f>H34+H36+H39+H42</f>
        <v>4060998.41</v>
      </c>
      <c r="I33" s="191">
        <f>I34+I36+I39+I42</f>
        <v>3518294.78</v>
      </c>
      <c r="J33" s="191">
        <f>J34+J36+J39+J42</f>
        <v>3518294.78</v>
      </c>
    </row>
    <row r="34" spans="1:10" ht="16.5" customHeight="1">
      <c r="A34" s="177" t="s">
        <v>516</v>
      </c>
      <c r="B34" s="59" t="s">
        <v>503</v>
      </c>
      <c r="C34" s="99" t="s">
        <v>383</v>
      </c>
      <c r="D34" s="99" t="s">
        <v>410</v>
      </c>
      <c r="E34" s="99" t="s">
        <v>517</v>
      </c>
      <c r="F34" s="99"/>
      <c r="G34" s="99"/>
      <c r="H34" s="191">
        <f>H35</f>
        <v>511146.2</v>
      </c>
      <c r="I34" s="191">
        <f>I35</f>
        <v>0</v>
      </c>
      <c r="J34" s="191">
        <f>J35</f>
        <v>0</v>
      </c>
    </row>
    <row r="35" spans="1:10" ht="30" customHeight="1">
      <c r="A35" s="71" t="s">
        <v>265</v>
      </c>
      <c r="B35" s="59" t="s">
        <v>503</v>
      </c>
      <c r="C35" s="99" t="s">
        <v>383</v>
      </c>
      <c r="D35" s="99" t="s">
        <v>410</v>
      </c>
      <c r="E35" s="99" t="s">
        <v>517</v>
      </c>
      <c r="F35" s="99" t="s">
        <v>330</v>
      </c>
      <c r="G35" s="99" t="s">
        <v>515</v>
      </c>
      <c r="H35" s="191">
        <f>578619.7-67473.5</f>
        <v>511146.2</v>
      </c>
      <c r="I35" s="191">
        <v>0</v>
      </c>
      <c r="J35" s="29">
        <v>0</v>
      </c>
    </row>
    <row r="36" spans="1:10" ht="105" customHeight="1">
      <c r="A36" s="71" t="s">
        <v>518</v>
      </c>
      <c r="B36" s="59" t="s">
        <v>503</v>
      </c>
      <c r="C36" s="99" t="s">
        <v>383</v>
      </c>
      <c r="D36" s="99" t="s">
        <v>410</v>
      </c>
      <c r="E36" s="99" t="s">
        <v>519</v>
      </c>
      <c r="F36" s="99"/>
      <c r="G36" s="99"/>
      <c r="H36" s="191">
        <f>SUM(H37:H38)</f>
        <v>59625</v>
      </c>
      <c r="I36" s="191">
        <f>SUM(I37:I38)</f>
        <v>59600</v>
      </c>
      <c r="J36" s="191">
        <f>SUM(J37:J38)</f>
        <v>59600</v>
      </c>
    </row>
    <row r="37" spans="1:10" ht="60" customHeight="1">
      <c r="A37" s="71" t="s">
        <v>264</v>
      </c>
      <c r="B37" s="59" t="s">
        <v>503</v>
      </c>
      <c r="C37" s="99" t="s">
        <v>383</v>
      </c>
      <c r="D37" s="99" t="s">
        <v>410</v>
      </c>
      <c r="E37" s="99" t="s">
        <v>519</v>
      </c>
      <c r="F37" s="99" t="s">
        <v>299</v>
      </c>
      <c r="G37" s="99" t="s">
        <v>515</v>
      </c>
      <c r="H37" s="191">
        <v>46850</v>
      </c>
      <c r="I37" s="191">
        <v>46850</v>
      </c>
      <c r="J37" s="29">
        <v>46850</v>
      </c>
    </row>
    <row r="38" spans="1:10" ht="30" customHeight="1">
      <c r="A38" s="71" t="s">
        <v>265</v>
      </c>
      <c r="B38" s="59" t="s">
        <v>503</v>
      </c>
      <c r="C38" s="99" t="s">
        <v>383</v>
      </c>
      <c r="D38" s="99" t="s">
        <v>410</v>
      </c>
      <c r="E38" s="99" t="s">
        <v>519</v>
      </c>
      <c r="F38" s="99" t="s">
        <v>330</v>
      </c>
      <c r="G38" s="99" t="s">
        <v>515</v>
      </c>
      <c r="H38" s="191">
        <v>12775</v>
      </c>
      <c r="I38" s="191">
        <v>12750</v>
      </c>
      <c r="J38" s="29">
        <v>12750</v>
      </c>
    </row>
    <row r="39" spans="1:10" ht="30" customHeight="1">
      <c r="A39" s="71" t="s">
        <v>520</v>
      </c>
      <c r="B39" s="59" t="s">
        <v>503</v>
      </c>
      <c r="C39" s="99" t="s">
        <v>383</v>
      </c>
      <c r="D39" s="99" t="s">
        <v>410</v>
      </c>
      <c r="E39" s="99" t="s">
        <v>521</v>
      </c>
      <c r="F39" s="99"/>
      <c r="G39" s="99"/>
      <c r="H39" s="191">
        <f>SUM(H40:H41)</f>
        <v>2161494.78</v>
      </c>
      <c r="I39" s="191">
        <f>SUM(I40:I41)</f>
        <v>2161494.78</v>
      </c>
      <c r="J39" s="191">
        <f>SUM(J40:J41)</f>
        <v>2161494.78</v>
      </c>
    </row>
    <row r="40" spans="1:10" ht="60" customHeight="1">
      <c r="A40" s="71" t="s">
        <v>264</v>
      </c>
      <c r="B40" s="59" t="s">
        <v>503</v>
      </c>
      <c r="C40" s="99" t="s">
        <v>383</v>
      </c>
      <c r="D40" s="99" t="s">
        <v>410</v>
      </c>
      <c r="E40" s="99" t="s">
        <v>521</v>
      </c>
      <c r="F40" s="99" t="s">
        <v>299</v>
      </c>
      <c r="G40" s="99" t="s">
        <v>515</v>
      </c>
      <c r="H40" s="191">
        <v>2031000</v>
      </c>
      <c r="I40" s="191">
        <v>2031000</v>
      </c>
      <c r="J40" s="191">
        <v>2031000</v>
      </c>
    </row>
    <row r="41" spans="1:10" ht="30" customHeight="1">
      <c r="A41" s="71" t="s">
        <v>265</v>
      </c>
      <c r="B41" s="59" t="s">
        <v>503</v>
      </c>
      <c r="C41" s="99" t="s">
        <v>383</v>
      </c>
      <c r="D41" s="99" t="s">
        <v>410</v>
      </c>
      <c r="E41" s="99" t="s">
        <v>521</v>
      </c>
      <c r="F41" s="99" t="s">
        <v>330</v>
      </c>
      <c r="G41" s="99" t="s">
        <v>515</v>
      </c>
      <c r="H41" s="191">
        <v>130494.78</v>
      </c>
      <c r="I41" s="191">
        <v>130494.78</v>
      </c>
      <c r="J41" s="191">
        <v>130494.78</v>
      </c>
    </row>
    <row r="42" spans="1:10" ht="57" customHeight="1">
      <c r="A42" s="149" t="s">
        <v>522</v>
      </c>
      <c r="B42" s="59" t="s">
        <v>503</v>
      </c>
      <c r="C42" s="99" t="s">
        <v>383</v>
      </c>
      <c r="D42" s="99" t="s">
        <v>410</v>
      </c>
      <c r="E42" s="99" t="s">
        <v>523</v>
      </c>
      <c r="F42" s="99"/>
      <c r="G42" s="99"/>
      <c r="H42" s="191">
        <f>H43</f>
        <v>1328732.43</v>
      </c>
      <c r="I42" s="191">
        <f>I43</f>
        <v>1297200</v>
      </c>
      <c r="J42" s="191">
        <f>J43</f>
        <v>1297200</v>
      </c>
    </row>
    <row r="43" spans="1:10" ht="60" customHeight="1">
      <c r="A43" s="71" t="s">
        <v>264</v>
      </c>
      <c r="B43" s="59" t="s">
        <v>503</v>
      </c>
      <c r="C43" s="99" t="s">
        <v>383</v>
      </c>
      <c r="D43" s="99" t="s">
        <v>410</v>
      </c>
      <c r="E43" s="99" t="s">
        <v>523</v>
      </c>
      <c r="F43" s="99" t="s">
        <v>299</v>
      </c>
      <c r="G43" s="99" t="s">
        <v>515</v>
      </c>
      <c r="H43" s="191">
        <f>1281120+47612.43</f>
        <v>1328732.43</v>
      </c>
      <c r="I43" s="191">
        <v>1297200</v>
      </c>
      <c r="J43" s="29">
        <v>1297200</v>
      </c>
    </row>
    <row r="44" spans="1:10" ht="31.5" customHeight="1">
      <c r="A44" s="192" t="s">
        <v>420</v>
      </c>
      <c r="B44" s="85" t="s">
        <v>503</v>
      </c>
      <c r="C44" s="187" t="s">
        <v>393</v>
      </c>
      <c r="D44" s="187"/>
      <c r="E44" s="187"/>
      <c r="F44" s="187"/>
      <c r="G44" s="187"/>
      <c r="H44" s="88">
        <f>H45+H50</f>
        <v>97620</v>
      </c>
      <c r="I44" s="88">
        <f>I45+I50</f>
        <v>45400</v>
      </c>
      <c r="J44" s="88">
        <f>J45+J50</f>
        <v>47100</v>
      </c>
    </row>
    <row r="45" spans="1:10" ht="15.75" customHeight="1">
      <c r="A45" s="192" t="s">
        <v>524</v>
      </c>
      <c r="B45" s="85" t="s">
        <v>503</v>
      </c>
      <c r="C45" s="187" t="s">
        <v>393</v>
      </c>
      <c r="D45" s="187" t="s">
        <v>397</v>
      </c>
      <c r="E45" s="187"/>
      <c r="F45" s="187"/>
      <c r="G45" s="187"/>
      <c r="H45" s="88">
        <f>H46</f>
        <v>0</v>
      </c>
      <c r="I45" s="88">
        <f>I46</f>
        <v>45400</v>
      </c>
      <c r="J45" s="88">
        <f>J46</f>
        <v>47100</v>
      </c>
    </row>
    <row r="46" spans="1:10" ht="15.75" customHeight="1">
      <c r="A46" s="192" t="s">
        <v>386</v>
      </c>
      <c r="B46" s="85" t="s">
        <v>503</v>
      </c>
      <c r="C46" s="187" t="s">
        <v>393</v>
      </c>
      <c r="D46" s="187" t="s">
        <v>397</v>
      </c>
      <c r="E46" s="187" t="s">
        <v>387</v>
      </c>
      <c r="F46" s="187"/>
      <c r="G46" s="187"/>
      <c r="H46" s="88">
        <f>H47</f>
        <v>0</v>
      </c>
      <c r="I46" s="88">
        <f>I47</f>
        <v>45400</v>
      </c>
      <c r="J46" s="88">
        <f>J47</f>
        <v>47100</v>
      </c>
    </row>
    <row r="47" spans="1:10" ht="16.5" customHeight="1">
      <c r="A47" s="177" t="s">
        <v>464</v>
      </c>
      <c r="B47" s="59" t="s">
        <v>503</v>
      </c>
      <c r="C47" s="99" t="s">
        <v>393</v>
      </c>
      <c r="D47" s="99" t="s">
        <v>397</v>
      </c>
      <c r="E47" s="99" t="s">
        <v>465</v>
      </c>
      <c r="F47" s="99"/>
      <c r="G47" s="99"/>
      <c r="H47" s="191">
        <f>H48</f>
        <v>0</v>
      </c>
      <c r="I47" s="191">
        <f>I48</f>
        <v>45400</v>
      </c>
      <c r="J47" s="191">
        <f>J48</f>
        <v>47100</v>
      </c>
    </row>
    <row r="48" spans="1:10" ht="30" customHeight="1">
      <c r="A48" s="71" t="s">
        <v>525</v>
      </c>
      <c r="B48" s="59" t="s">
        <v>503</v>
      </c>
      <c r="C48" s="99" t="s">
        <v>393</v>
      </c>
      <c r="D48" s="99" t="s">
        <v>397</v>
      </c>
      <c r="E48" s="99" t="s">
        <v>526</v>
      </c>
      <c r="F48" s="99"/>
      <c r="G48" s="99"/>
      <c r="H48" s="191">
        <f>H49</f>
        <v>0</v>
      </c>
      <c r="I48" s="191">
        <f>I49</f>
        <v>45400</v>
      </c>
      <c r="J48" s="191">
        <f>J49</f>
        <v>47100</v>
      </c>
    </row>
    <row r="49" spans="1:10" ht="16.5" customHeight="1">
      <c r="A49" s="71" t="s">
        <v>464</v>
      </c>
      <c r="B49" s="59" t="s">
        <v>503</v>
      </c>
      <c r="C49" s="99" t="s">
        <v>393</v>
      </c>
      <c r="D49" s="99" t="s">
        <v>397</v>
      </c>
      <c r="E49" s="99" t="s">
        <v>526</v>
      </c>
      <c r="F49" s="99" t="s">
        <v>468</v>
      </c>
      <c r="G49" s="99" t="s">
        <v>515</v>
      </c>
      <c r="H49" s="191">
        <f>44000-44000</f>
        <v>0</v>
      </c>
      <c r="I49" s="28">
        <v>45400</v>
      </c>
      <c r="J49" s="97">
        <v>47100</v>
      </c>
    </row>
    <row r="50" spans="1:10" ht="63" customHeight="1">
      <c r="A50" s="87" t="s">
        <v>421</v>
      </c>
      <c r="B50" s="85" t="s">
        <v>503</v>
      </c>
      <c r="C50" s="187" t="s">
        <v>393</v>
      </c>
      <c r="D50" s="187" t="s">
        <v>422</v>
      </c>
      <c r="E50" s="187"/>
      <c r="F50" s="187"/>
      <c r="G50" s="187"/>
      <c r="H50" s="88">
        <f>H51</f>
        <v>97620</v>
      </c>
      <c r="I50" s="88">
        <f>I51</f>
        <v>0</v>
      </c>
      <c r="J50" s="88">
        <f>J51</f>
        <v>0</v>
      </c>
    </row>
    <row r="51" spans="1:10" ht="15.75" customHeight="1">
      <c r="A51" s="87" t="s">
        <v>386</v>
      </c>
      <c r="B51" s="85" t="s">
        <v>503</v>
      </c>
      <c r="C51" s="187" t="s">
        <v>393</v>
      </c>
      <c r="D51" s="187" t="s">
        <v>422</v>
      </c>
      <c r="E51" s="138">
        <v>9900000000</v>
      </c>
      <c r="F51" s="132"/>
      <c r="G51" s="187"/>
      <c r="H51" s="88">
        <f>H52</f>
        <v>97620</v>
      </c>
      <c r="I51" s="88">
        <f>I52</f>
        <v>0</v>
      </c>
      <c r="J51" s="88">
        <f>J52</f>
        <v>0</v>
      </c>
    </row>
    <row r="52" spans="1:10" ht="30" customHeight="1">
      <c r="A52" s="71" t="s">
        <v>388</v>
      </c>
      <c r="B52" s="59" t="s">
        <v>503</v>
      </c>
      <c r="C52" s="99" t="s">
        <v>393</v>
      </c>
      <c r="D52" s="99" t="s">
        <v>422</v>
      </c>
      <c r="E52" s="146">
        <v>9910000000</v>
      </c>
      <c r="F52" s="144"/>
      <c r="G52" s="99"/>
      <c r="H52" s="191">
        <f>H53</f>
        <v>97620</v>
      </c>
      <c r="I52" s="191">
        <f>I53</f>
        <v>0</v>
      </c>
      <c r="J52" s="191">
        <f>J53</f>
        <v>0</v>
      </c>
    </row>
    <row r="53" spans="1:10" ht="30" customHeight="1">
      <c r="A53" s="71" t="s">
        <v>416</v>
      </c>
      <c r="B53" s="59" t="s">
        <v>503</v>
      </c>
      <c r="C53" s="99" t="s">
        <v>393</v>
      </c>
      <c r="D53" s="99" t="s">
        <v>422</v>
      </c>
      <c r="E53" s="146">
        <v>9910022001</v>
      </c>
      <c r="F53" s="144"/>
      <c r="G53" s="99"/>
      <c r="H53" s="191">
        <f>H54</f>
        <v>97620</v>
      </c>
      <c r="I53" s="191">
        <f>I54</f>
        <v>0</v>
      </c>
      <c r="J53" s="191">
        <f>J54</f>
        <v>0</v>
      </c>
    </row>
    <row r="54" spans="1:10" ht="60" customHeight="1">
      <c r="A54" s="71" t="s">
        <v>264</v>
      </c>
      <c r="B54" s="59" t="s">
        <v>503</v>
      </c>
      <c r="C54" s="99" t="s">
        <v>393</v>
      </c>
      <c r="D54" s="99" t="s">
        <v>422</v>
      </c>
      <c r="E54" s="146">
        <v>9910022001</v>
      </c>
      <c r="F54" s="92" t="s">
        <v>299</v>
      </c>
      <c r="G54" s="99" t="s">
        <v>515</v>
      </c>
      <c r="H54" s="191">
        <v>97620</v>
      </c>
      <c r="I54" s="28">
        <v>0</v>
      </c>
      <c r="J54" s="97">
        <v>0</v>
      </c>
    </row>
    <row r="55" spans="1:10" ht="15.75" customHeight="1">
      <c r="A55" s="192" t="s">
        <v>425</v>
      </c>
      <c r="B55" s="85" t="s">
        <v>503</v>
      </c>
      <c r="C55" s="187" t="s">
        <v>397</v>
      </c>
      <c r="D55" s="187"/>
      <c r="E55" s="187"/>
      <c r="F55" s="187"/>
      <c r="G55" s="187"/>
      <c r="H55" s="88">
        <f>H56+H62</f>
        <v>65432836.32</v>
      </c>
      <c r="I55" s="88">
        <f>I56+I62</f>
        <v>32365600</v>
      </c>
      <c r="J55" s="88">
        <f>J56+J62</f>
        <v>32656400</v>
      </c>
    </row>
    <row r="56" spans="1:10" ht="15.75" customHeight="1">
      <c r="A56" s="192" t="s">
        <v>426</v>
      </c>
      <c r="B56" s="85" t="s">
        <v>503</v>
      </c>
      <c r="C56" s="187" t="s">
        <v>397</v>
      </c>
      <c r="D56" s="187" t="s">
        <v>383</v>
      </c>
      <c r="E56" s="187"/>
      <c r="F56" s="187"/>
      <c r="G56" s="187"/>
      <c r="H56" s="88">
        <f>H57</f>
        <v>1631656.64</v>
      </c>
      <c r="I56" s="88">
        <f>I57</f>
        <v>1631700</v>
      </c>
      <c r="J56" s="88">
        <f>J57</f>
        <v>1631700</v>
      </c>
    </row>
    <row r="57" spans="1:10" ht="15.75" customHeight="1">
      <c r="A57" s="87" t="s">
        <v>386</v>
      </c>
      <c r="B57" s="85" t="s">
        <v>503</v>
      </c>
      <c r="C57" s="187" t="s">
        <v>397</v>
      </c>
      <c r="D57" s="187" t="s">
        <v>383</v>
      </c>
      <c r="E57" s="187" t="s">
        <v>387</v>
      </c>
      <c r="F57" s="187"/>
      <c r="G57" s="187"/>
      <c r="H57" s="88">
        <f>H58</f>
        <v>1631656.64</v>
      </c>
      <c r="I57" s="88">
        <f>I58</f>
        <v>1631700</v>
      </c>
      <c r="J57" s="88">
        <f>J58</f>
        <v>1631700</v>
      </c>
    </row>
    <row r="58" spans="1:10" ht="16.5" customHeight="1">
      <c r="A58" s="71" t="s">
        <v>406</v>
      </c>
      <c r="B58" s="59" t="s">
        <v>503</v>
      </c>
      <c r="C58" s="99" t="s">
        <v>397</v>
      </c>
      <c r="D58" s="99" t="s">
        <v>383</v>
      </c>
      <c r="E58" s="99" t="s">
        <v>407</v>
      </c>
      <c r="F58" s="99"/>
      <c r="G58" s="99"/>
      <c r="H58" s="191">
        <f>H59</f>
        <v>1631656.64</v>
      </c>
      <c r="I58" s="191">
        <f>I59</f>
        <v>1631700</v>
      </c>
      <c r="J58" s="191">
        <f>J59</f>
        <v>1631700</v>
      </c>
    </row>
    <row r="59" spans="1:10" ht="30" customHeight="1">
      <c r="A59" s="193" t="s">
        <v>527</v>
      </c>
      <c r="B59" s="59" t="s">
        <v>503</v>
      </c>
      <c r="C59" s="99" t="s">
        <v>397</v>
      </c>
      <c r="D59" s="99" t="s">
        <v>383</v>
      </c>
      <c r="E59" s="99" t="s">
        <v>528</v>
      </c>
      <c r="F59" s="99"/>
      <c r="G59" s="99"/>
      <c r="H59" s="28">
        <f>H60+H61</f>
        <v>1631656.64</v>
      </c>
      <c r="I59" s="28">
        <f>I60+I61</f>
        <v>1631700</v>
      </c>
      <c r="J59" s="28">
        <f>J60+J61</f>
        <v>1631700</v>
      </c>
    </row>
    <row r="60" spans="1:10" ht="60" customHeight="1">
      <c r="A60" s="71" t="s">
        <v>264</v>
      </c>
      <c r="B60" s="59" t="s">
        <v>503</v>
      </c>
      <c r="C60" s="99" t="s">
        <v>397</v>
      </c>
      <c r="D60" s="99" t="s">
        <v>383</v>
      </c>
      <c r="E60" s="99" t="s">
        <v>528</v>
      </c>
      <c r="F60" s="99" t="s">
        <v>299</v>
      </c>
      <c r="G60" s="99" t="s">
        <v>515</v>
      </c>
      <c r="H60" s="28">
        <v>1591356.64</v>
      </c>
      <c r="I60" s="28">
        <v>1593908</v>
      </c>
      <c r="J60" s="28">
        <v>1591400</v>
      </c>
    </row>
    <row r="61" spans="1:10" ht="30" customHeight="1">
      <c r="A61" s="71" t="s">
        <v>265</v>
      </c>
      <c r="B61" s="59" t="s">
        <v>503</v>
      </c>
      <c r="C61" s="99" t="s">
        <v>397</v>
      </c>
      <c r="D61" s="99" t="s">
        <v>383</v>
      </c>
      <c r="E61" s="99" t="s">
        <v>528</v>
      </c>
      <c r="F61" s="99" t="s">
        <v>330</v>
      </c>
      <c r="G61" s="99" t="s">
        <v>515</v>
      </c>
      <c r="H61" s="28">
        <v>40300</v>
      </c>
      <c r="I61" s="28">
        <v>37792</v>
      </c>
      <c r="J61" s="28">
        <v>40300</v>
      </c>
    </row>
    <row r="62" spans="1:10" ht="15.75" customHeight="1">
      <c r="A62" s="192" t="s">
        <v>427</v>
      </c>
      <c r="B62" s="85" t="s">
        <v>503</v>
      </c>
      <c r="C62" s="187" t="s">
        <v>397</v>
      </c>
      <c r="D62" s="187" t="s">
        <v>428</v>
      </c>
      <c r="E62" s="99"/>
      <c r="F62" s="99"/>
      <c r="G62" s="99"/>
      <c r="H62" s="88">
        <f>H63+H77</f>
        <v>63801179.68</v>
      </c>
      <c r="I62" s="88">
        <f>I63+I77</f>
        <v>30733900</v>
      </c>
      <c r="J62" s="88">
        <f>J63+J77</f>
        <v>31024700</v>
      </c>
    </row>
    <row r="63" spans="1:10" ht="63" customHeight="1">
      <c r="A63" s="192" t="s">
        <v>295</v>
      </c>
      <c r="B63" s="85" t="s">
        <v>503</v>
      </c>
      <c r="C63" s="187" t="s">
        <v>397</v>
      </c>
      <c r="D63" s="187" t="s">
        <v>428</v>
      </c>
      <c r="E63" s="187" t="s">
        <v>296</v>
      </c>
      <c r="F63" s="187"/>
      <c r="G63" s="187"/>
      <c r="H63" s="88">
        <f>H64+H68</f>
        <v>62292650.34</v>
      </c>
      <c r="I63" s="88">
        <f>I64+I68</f>
        <v>30733900</v>
      </c>
      <c r="J63" s="88">
        <f>J64+J68</f>
        <v>31024700</v>
      </c>
    </row>
    <row r="64" spans="1:10" ht="15.75" customHeight="1">
      <c r="A64" s="192" t="s">
        <v>297</v>
      </c>
      <c r="B64" s="85" t="s">
        <v>503</v>
      </c>
      <c r="C64" s="187" t="s">
        <v>397</v>
      </c>
      <c r="D64" s="187" t="s">
        <v>428</v>
      </c>
      <c r="E64" s="187" t="s">
        <v>298</v>
      </c>
      <c r="F64" s="187"/>
      <c r="G64" s="187"/>
      <c r="H64" s="88">
        <f>H65</f>
        <v>11312399.89</v>
      </c>
      <c r="I64" s="88">
        <f>I65</f>
        <v>10733900</v>
      </c>
      <c r="J64" s="88">
        <f>J65</f>
        <v>11024700</v>
      </c>
    </row>
    <row r="65" spans="1:10" ht="45" customHeight="1">
      <c r="A65" s="71" t="s">
        <v>529</v>
      </c>
      <c r="B65" s="59" t="s">
        <v>503</v>
      </c>
      <c r="C65" s="99" t="s">
        <v>397</v>
      </c>
      <c r="D65" s="99" t="s">
        <v>428</v>
      </c>
      <c r="E65" s="99" t="s">
        <v>530</v>
      </c>
      <c r="F65" s="99"/>
      <c r="G65" s="99"/>
      <c r="H65" s="191">
        <f>SUM(H66:H67)</f>
        <v>11312399.89</v>
      </c>
      <c r="I65" s="191">
        <f>SUM(I66:I67)</f>
        <v>10733900</v>
      </c>
      <c r="J65" s="191">
        <f>SUM(J66:J67)</f>
        <v>11024700</v>
      </c>
    </row>
    <row r="66" spans="1:10" ht="60" customHeight="1">
      <c r="A66" s="71" t="s">
        <v>264</v>
      </c>
      <c r="B66" s="59" t="s">
        <v>503</v>
      </c>
      <c r="C66" s="99" t="s">
        <v>397</v>
      </c>
      <c r="D66" s="99" t="s">
        <v>428</v>
      </c>
      <c r="E66" s="99" t="s">
        <v>530</v>
      </c>
      <c r="F66" s="99" t="s">
        <v>299</v>
      </c>
      <c r="G66" s="99" t="s">
        <v>515</v>
      </c>
      <c r="H66" s="191">
        <f>10303349.77+124501.1+219869.22</f>
        <v>10647720.09</v>
      </c>
      <c r="I66" s="191">
        <v>10430900</v>
      </c>
      <c r="J66" s="191">
        <v>10718700</v>
      </c>
    </row>
    <row r="67" spans="1:10" ht="30" customHeight="1">
      <c r="A67" s="71" t="s">
        <v>265</v>
      </c>
      <c r="B67" s="59" t="s">
        <v>503</v>
      </c>
      <c r="C67" s="99" t="s">
        <v>397</v>
      </c>
      <c r="D67" s="99" t="s">
        <v>428</v>
      </c>
      <c r="E67" s="99" t="s">
        <v>530</v>
      </c>
      <c r="F67" s="99" t="s">
        <v>330</v>
      </c>
      <c r="G67" s="99" t="s">
        <v>515</v>
      </c>
      <c r="H67" s="191">
        <v>664679.8</v>
      </c>
      <c r="I67" s="191">
        <v>303000</v>
      </c>
      <c r="J67" s="191">
        <v>306000</v>
      </c>
    </row>
    <row r="68" spans="1:10" ht="30" customHeight="1">
      <c r="A68" s="177" t="s">
        <v>531</v>
      </c>
      <c r="B68" s="59" t="s">
        <v>503</v>
      </c>
      <c r="C68" s="99" t="s">
        <v>397</v>
      </c>
      <c r="D68" s="99" t="s">
        <v>428</v>
      </c>
      <c r="E68" s="59" t="s">
        <v>532</v>
      </c>
      <c r="F68" s="99"/>
      <c r="G68" s="99"/>
      <c r="H68" s="191">
        <f>H71+H73+H75+H69</f>
        <v>50980250.45</v>
      </c>
      <c r="I68" s="191">
        <f>I71+I73+I75+I69</f>
        <v>20000000</v>
      </c>
      <c r="J68" s="191">
        <f>J71+J73+J75+J69</f>
        <v>20000000</v>
      </c>
    </row>
    <row r="69" spans="1:10" ht="45" customHeight="1">
      <c r="A69" s="177" t="s">
        <v>533</v>
      </c>
      <c r="B69" s="59" t="s">
        <v>503</v>
      </c>
      <c r="C69" s="99" t="s">
        <v>397</v>
      </c>
      <c r="D69" s="99" t="s">
        <v>428</v>
      </c>
      <c r="E69" s="59" t="s">
        <v>534</v>
      </c>
      <c r="F69" s="99"/>
      <c r="G69" s="99"/>
      <c r="H69" s="191">
        <f>H70</f>
        <v>10000000</v>
      </c>
      <c r="I69" s="191">
        <f>I70</f>
        <v>0</v>
      </c>
      <c r="J69" s="191">
        <f>J70</f>
        <v>0</v>
      </c>
    </row>
    <row r="70" spans="1:10" ht="16.5" customHeight="1">
      <c r="A70" s="71" t="s">
        <v>267</v>
      </c>
      <c r="B70" s="59" t="s">
        <v>503</v>
      </c>
      <c r="C70" s="99" t="s">
        <v>397</v>
      </c>
      <c r="D70" s="99" t="s">
        <v>428</v>
      </c>
      <c r="E70" s="59" t="s">
        <v>534</v>
      </c>
      <c r="F70" s="99" t="s">
        <v>306</v>
      </c>
      <c r="G70" s="99" t="s">
        <v>515</v>
      </c>
      <c r="H70" s="191">
        <v>10000000</v>
      </c>
      <c r="I70" s="191">
        <v>0</v>
      </c>
      <c r="J70" s="191">
        <v>0</v>
      </c>
    </row>
    <row r="71" spans="1:10" ht="45" customHeight="1">
      <c r="A71" s="177" t="s">
        <v>215</v>
      </c>
      <c r="B71" s="59" t="s">
        <v>503</v>
      </c>
      <c r="C71" s="99" t="s">
        <v>397</v>
      </c>
      <c r="D71" s="99" t="s">
        <v>428</v>
      </c>
      <c r="E71" s="59" t="s">
        <v>535</v>
      </c>
      <c r="F71" s="99"/>
      <c r="G71" s="99"/>
      <c r="H71" s="191">
        <f>H72</f>
        <v>8960000</v>
      </c>
      <c r="I71" s="191">
        <v>0</v>
      </c>
      <c r="J71" s="191">
        <v>0</v>
      </c>
    </row>
    <row r="72" spans="1:10" ht="16.5" customHeight="1">
      <c r="A72" s="71" t="s">
        <v>267</v>
      </c>
      <c r="B72" s="59" t="s">
        <v>503</v>
      </c>
      <c r="C72" s="99" t="s">
        <v>397</v>
      </c>
      <c r="D72" s="99" t="s">
        <v>428</v>
      </c>
      <c r="E72" s="59" t="s">
        <v>535</v>
      </c>
      <c r="F72" s="99" t="s">
        <v>306</v>
      </c>
      <c r="G72" s="99" t="s">
        <v>515</v>
      </c>
      <c r="H72" s="191">
        <v>8960000</v>
      </c>
      <c r="I72" s="191">
        <v>0</v>
      </c>
      <c r="J72" s="191">
        <v>0</v>
      </c>
    </row>
    <row r="73" spans="1:10" ht="45" customHeight="1">
      <c r="A73" s="177" t="s">
        <v>536</v>
      </c>
      <c r="B73" s="59" t="s">
        <v>503</v>
      </c>
      <c r="C73" s="99" t="s">
        <v>397</v>
      </c>
      <c r="D73" s="99" t="s">
        <v>428</v>
      </c>
      <c r="E73" s="59" t="s">
        <v>537</v>
      </c>
      <c r="F73" s="99"/>
      <c r="G73" s="99"/>
      <c r="H73" s="191">
        <f>H74</f>
        <v>12020250.45</v>
      </c>
      <c r="I73" s="191">
        <f>I74</f>
        <v>0</v>
      </c>
      <c r="J73" s="191">
        <f>J74</f>
        <v>0</v>
      </c>
    </row>
    <row r="74" spans="1:10" ht="16.5" customHeight="1">
      <c r="A74" s="71" t="s">
        <v>267</v>
      </c>
      <c r="B74" s="59" t="s">
        <v>503</v>
      </c>
      <c r="C74" s="99" t="s">
        <v>397</v>
      </c>
      <c r="D74" s="99" t="s">
        <v>428</v>
      </c>
      <c r="E74" s="59" t="s">
        <v>537</v>
      </c>
      <c r="F74" s="99" t="s">
        <v>306</v>
      </c>
      <c r="G74" s="99" t="s">
        <v>515</v>
      </c>
      <c r="H74" s="191">
        <v>12020250.45</v>
      </c>
      <c r="I74" s="191">
        <v>0</v>
      </c>
      <c r="J74" s="191">
        <v>0</v>
      </c>
    </row>
    <row r="75" spans="1:10" ht="45" customHeight="1">
      <c r="A75" s="71" t="s">
        <v>219</v>
      </c>
      <c r="B75" s="59" t="s">
        <v>503</v>
      </c>
      <c r="C75" s="99" t="s">
        <v>397</v>
      </c>
      <c r="D75" s="99" t="s">
        <v>428</v>
      </c>
      <c r="E75" s="59" t="s">
        <v>538</v>
      </c>
      <c r="F75" s="99"/>
      <c r="G75" s="99"/>
      <c r="H75" s="191">
        <f>H76</f>
        <v>20000000</v>
      </c>
      <c r="I75" s="191">
        <f>I76</f>
        <v>20000000</v>
      </c>
      <c r="J75" s="191">
        <f>J76</f>
        <v>20000000</v>
      </c>
    </row>
    <row r="76" spans="1:10" ht="16.5" customHeight="1">
      <c r="A76" s="71" t="s">
        <v>267</v>
      </c>
      <c r="B76" s="59" t="s">
        <v>503</v>
      </c>
      <c r="C76" s="99" t="s">
        <v>397</v>
      </c>
      <c r="D76" s="99" t="s">
        <v>428</v>
      </c>
      <c r="E76" s="59" t="s">
        <v>538</v>
      </c>
      <c r="F76" s="99" t="s">
        <v>306</v>
      </c>
      <c r="G76" s="99" t="s">
        <v>515</v>
      </c>
      <c r="H76" s="191">
        <v>20000000</v>
      </c>
      <c r="I76" s="191">
        <v>20000000</v>
      </c>
      <c r="J76" s="191">
        <v>20000000</v>
      </c>
    </row>
    <row r="77" spans="1:10" ht="15.75" customHeight="1">
      <c r="A77" s="192" t="s">
        <v>386</v>
      </c>
      <c r="B77" s="85" t="s">
        <v>503</v>
      </c>
      <c r="C77" s="187" t="s">
        <v>397</v>
      </c>
      <c r="D77" s="187" t="s">
        <v>428</v>
      </c>
      <c r="E77" s="185">
        <v>9900000000</v>
      </c>
      <c r="F77" s="187"/>
      <c r="G77" s="187"/>
      <c r="H77" s="88">
        <f>H78</f>
        <v>1508529.34</v>
      </c>
      <c r="I77" s="88">
        <f>I78</f>
        <v>0</v>
      </c>
      <c r="J77" s="88">
        <f>J78</f>
        <v>0</v>
      </c>
    </row>
    <row r="78" spans="1:10" ht="16.5" customHeight="1">
      <c r="A78" s="177" t="s">
        <v>464</v>
      </c>
      <c r="B78" s="59" t="s">
        <v>503</v>
      </c>
      <c r="C78" s="99" t="s">
        <v>397</v>
      </c>
      <c r="D78" s="99" t="s">
        <v>428</v>
      </c>
      <c r="E78" s="72">
        <v>9960000000</v>
      </c>
      <c r="F78" s="99"/>
      <c r="G78" s="99"/>
      <c r="H78" s="191">
        <f>H79</f>
        <v>1508529.34</v>
      </c>
      <c r="I78" s="191">
        <f>I79</f>
        <v>0</v>
      </c>
      <c r="J78" s="191">
        <f>J79</f>
        <v>0</v>
      </c>
    </row>
    <row r="79" spans="1:10" ht="60" customHeight="1">
      <c r="A79" s="71" t="s">
        <v>539</v>
      </c>
      <c r="B79" s="59" t="s">
        <v>503</v>
      </c>
      <c r="C79" s="99" t="s">
        <v>397</v>
      </c>
      <c r="D79" s="99" t="s">
        <v>428</v>
      </c>
      <c r="E79" s="99" t="s">
        <v>540</v>
      </c>
      <c r="F79" s="99"/>
      <c r="G79" s="99"/>
      <c r="H79" s="191">
        <f>H80</f>
        <v>1508529.34</v>
      </c>
      <c r="I79" s="191">
        <f>I80</f>
        <v>0</v>
      </c>
      <c r="J79" s="191">
        <f>J80</f>
        <v>0</v>
      </c>
    </row>
    <row r="80" spans="1:10" ht="16.5" customHeight="1">
      <c r="A80" s="177" t="s">
        <v>464</v>
      </c>
      <c r="B80" s="59" t="s">
        <v>503</v>
      </c>
      <c r="C80" s="99" t="s">
        <v>397</v>
      </c>
      <c r="D80" s="99" t="s">
        <v>428</v>
      </c>
      <c r="E80" s="99" t="s">
        <v>540</v>
      </c>
      <c r="F80" s="99" t="s">
        <v>468</v>
      </c>
      <c r="G80" s="99" t="s">
        <v>515</v>
      </c>
      <c r="H80" s="191">
        <v>1508529.34</v>
      </c>
      <c r="I80" s="191">
        <v>0</v>
      </c>
      <c r="J80" s="191">
        <v>0</v>
      </c>
    </row>
    <row r="81" spans="1:10" ht="15.75" customHeight="1">
      <c r="A81" s="194" t="s">
        <v>438</v>
      </c>
      <c r="B81" s="85" t="s">
        <v>503</v>
      </c>
      <c r="C81" s="187" t="s">
        <v>405</v>
      </c>
      <c r="D81" s="187"/>
      <c r="E81" s="187"/>
      <c r="F81" s="187"/>
      <c r="G81" s="187"/>
      <c r="H81" s="88">
        <f>H82+H93+H124+H136+H144</f>
        <v>1177986390.41</v>
      </c>
      <c r="I81" s="88">
        <f>I82+I93+I124+I136</f>
        <v>1028263664</v>
      </c>
      <c r="J81" s="88">
        <f>J82+J93+J124+J136</f>
        <v>1046680364</v>
      </c>
    </row>
    <row r="82" spans="1:10" ht="15.75" customHeight="1">
      <c r="A82" s="194" t="s">
        <v>439</v>
      </c>
      <c r="B82" s="85" t="s">
        <v>503</v>
      </c>
      <c r="C82" s="187" t="s">
        <v>405</v>
      </c>
      <c r="D82" s="187" t="s">
        <v>383</v>
      </c>
      <c r="E82" s="187"/>
      <c r="F82" s="187"/>
      <c r="G82" s="187"/>
      <c r="H82" s="88">
        <f>H83</f>
        <v>326733535</v>
      </c>
      <c r="I82" s="88">
        <f>I83</f>
        <v>300521330</v>
      </c>
      <c r="J82" s="88">
        <f>J83</f>
        <v>300521330</v>
      </c>
    </row>
    <row r="83" spans="1:10" ht="15.75" customHeight="1">
      <c r="A83" s="87" t="s">
        <v>260</v>
      </c>
      <c r="B83" s="85" t="s">
        <v>503</v>
      </c>
      <c r="C83" s="187" t="s">
        <v>405</v>
      </c>
      <c r="D83" s="187" t="s">
        <v>383</v>
      </c>
      <c r="E83" s="187" t="s">
        <v>261</v>
      </c>
      <c r="F83" s="187"/>
      <c r="G83" s="187"/>
      <c r="H83" s="88">
        <f>H84+H90</f>
        <v>326733535</v>
      </c>
      <c r="I83" s="88">
        <f>I84+I90</f>
        <v>300521330</v>
      </c>
      <c r="J83" s="88">
        <f>J84+J90</f>
        <v>300521330</v>
      </c>
    </row>
    <row r="84" spans="1:10" ht="31.5" customHeight="1">
      <c r="A84" s="22" t="s">
        <v>268</v>
      </c>
      <c r="B84" s="85" t="s">
        <v>503</v>
      </c>
      <c r="C84" s="187" t="s">
        <v>405</v>
      </c>
      <c r="D84" s="187" t="s">
        <v>383</v>
      </c>
      <c r="E84" s="187" t="s">
        <v>269</v>
      </c>
      <c r="F84" s="187"/>
      <c r="G84" s="187"/>
      <c r="H84" s="88">
        <f>H87+H85</f>
        <v>325941535</v>
      </c>
      <c r="I84" s="88">
        <f>I87+I85</f>
        <v>299714930</v>
      </c>
      <c r="J84" s="88">
        <f>J87+J85</f>
        <v>299714930</v>
      </c>
    </row>
    <row r="85" spans="1:10" ht="30" customHeight="1">
      <c r="A85" s="195" t="s">
        <v>416</v>
      </c>
      <c r="B85" s="59" t="s">
        <v>503</v>
      </c>
      <c r="C85" s="99" t="s">
        <v>405</v>
      </c>
      <c r="D85" s="99" t="s">
        <v>383</v>
      </c>
      <c r="E85" s="99" t="s">
        <v>541</v>
      </c>
      <c r="F85" s="99"/>
      <c r="G85" s="99"/>
      <c r="H85" s="191">
        <f>H86</f>
        <v>7057155</v>
      </c>
      <c r="I85" s="191"/>
      <c r="J85" s="191"/>
    </row>
    <row r="86" spans="1:10" ht="60" customHeight="1">
      <c r="A86" s="71" t="s">
        <v>264</v>
      </c>
      <c r="B86" s="59" t="s">
        <v>503</v>
      </c>
      <c r="C86" s="99" t="s">
        <v>405</v>
      </c>
      <c r="D86" s="99" t="s">
        <v>383</v>
      </c>
      <c r="E86" s="99" t="s">
        <v>541</v>
      </c>
      <c r="F86" s="99" t="s">
        <v>299</v>
      </c>
      <c r="G86" s="99" t="s">
        <v>515</v>
      </c>
      <c r="H86" s="191">
        <f>2308941+4748214</f>
        <v>7057155</v>
      </c>
      <c r="I86" s="191">
        <v>0</v>
      </c>
      <c r="J86" s="191">
        <v>0</v>
      </c>
    </row>
    <row r="87" spans="1:10" ht="45" customHeight="1">
      <c r="A87" s="195" t="s">
        <v>542</v>
      </c>
      <c r="B87" s="59" t="s">
        <v>503</v>
      </c>
      <c r="C87" s="99" t="s">
        <v>405</v>
      </c>
      <c r="D87" s="99" t="s">
        <v>383</v>
      </c>
      <c r="E87" s="99" t="s">
        <v>543</v>
      </c>
      <c r="F87" s="99"/>
      <c r="G87" s="99"/>
      <c r="H87" s="191">
        <f>SUM(H88:H89)</f>
        <v>318884380</v>
      </c>
      <c r="I87" s="191">
        <f>SUM(I88:I89)</f>
        <v>299714930</v>
      </c>
      <c r="J87" s="191">
        <f>SUM(J88:J89)</f>
        <v>299714930</v>
      </c>
    </row>
    <row r="88" spans="1:10" ht="60" customHeight="1">
      <c r="A88" s="71" t="s">
        <v>264</v>
      </c>
      <c r="B88" s="59" t="s">
        <v>503</v>
      </c>
      <c r="C88" s="99" t="s">
        <v>405</v>
      </c>
      <c r="D88" s="99" t="s">
        <v>383</v>
      </c>
      <c r="E88" s="99" t="s">
        <v>543</v>
      </c>
      <c r="F88" s="99" t="s">
        <v>299</v>
      </c>
      <c r="G88" s="99" t="s">
        <v>515</v>
      </c>
      <c r="H88" s="191">
        <f>267664751+3661800+2274390+18713740+18586250+1139845.69</f>
        <v>312040776.69</v>
      </c>
      <c r="I88" s="191">
        <v>291731480.97</v>
      </c>
      <c r="J88" s="191">
        <v>291731481</v>
      </c>
    </row>
    <row r="89" spans="1:10" ht="30" customHeight="1">
      <c r="A89" s="71" t="s">
        <v>265</v>
      </c>
      <c r="B89" s="59" t="s">
        <v>503</v>
      </c>
      <c r="C89" s="99" t="s">
        <v>405</v>
      </c>
      <c r="D89" s="99" t="s">
        <v>383</v>
      </c>
      <c r="E89" s="99" t="s">
        <v>543</v>
      </c>
      <c r="F89" s="99" t="s">
        <v>330</v>
      </c>
      <c r="G89" s="99" t="s">
        <v>515</v>
      </c>
      <c r="H89" s="191">
        <f>7983449-1139845.69</f>
        <v>6843603.31</v>
      </c>
      <c r="I89" s="191">
        <v>7983449.03</v>
      </c>
      <c r="J89" s="191">
        <v>7983449</v>
      </c>
    </row>
    <row r="90" spans="1:10" ht="15.75" customHeight="1">
      <c r="A90" s="22" t="s">
        <v>544</v>
      </c>
      <c r="B90" s="85" t="s">
        <v>503</v>
      </c>
      <c r="C90" s="187" t="s">
        <v>405</v>
      </c>
      <c r="D90" s="187" t="s">
        <v>383</v>
      </c>
      <c r="E90" s="187" t="s">
        <v>545</v>
      </c>
      <c r="F90" s="187"/>
      <c r="G90" s="187"/>
      <c r="H90" s="88">
        <f>H91</f>
        <v>792000</v>
      </c>
      <c r="I90" s="88">
        <f>I91</f>
        <v>806400</v>
      </c>
      <c r="J90" s="88">
        <f>J91</f>
        <v>806400</v>
      </c>
    </row>
    <row r="91" spans="1:10" ht="60" customHeight="1">
      <c r="A91" s="195" t="s">
        <v>546</v>
      </c>
      <c r="B91" s="59" t="s">
        <v>503</v>
      </c>
      <c r="C91" s="99" t="s">
        <v>405</v>
      </c>
      <c r="D91" s="99" t="s">
        <v>383</v>
      </c>
      <c r="E91" s="99" t="s">
        <v>547</v>
      </c>
      <c r="F91" s="99"/>
      <c r="G91" s="99"/>
      <c r="H91" s="191">
        <f>H92</f>
        <v>792000</v>
      </c>
      <c r="I91" s="191">
        <f>I92</f>
        <v>806400</v>
      </c>
      <c r="J91" s="191">
        <f>J92</f>
        <v>806400</v>
      </c>
    </row>
    <row r="92" spans="1:10" ht="60" customHeight="1">
      <c r="A92" s="71" t="s">
        <v>264</v>
      </c>
      <c r="B92" s="59" t="s">
        <v>503</v>
      </c>
      <c r="C92" s="99" t="s">
        <v>405</v>
      </c>
      <c r="D92" s="99" t="s">
        <v>383</v>
      </c>
      <c r="E92" s="99" t="s">
        <v>547</v>
      </c>
      <c r="F92" s="99" t="s">
        <v>299</v>
      </c>
      <c r="G92" s="99" t="s">
        <v>515</v>
      </c>
      <c r="H92" s="191">
        <v>792000</v>
      </c>
      <c r="I92" s="191">
        <v>806400</v>
      </c>
      <c r="J92" s="29">
        <v>806400</v>
      </c>
    </row>
    <row r="93" spans="1:10" ht="15.75" customHeight="1">
      <c r="A93" s="186" t="s">
        <v>440</v>
      </c>
      <c r="B93" s="85" t="s">
        <v>503</v>
      </c>
      <c r="C93" s="187" t="s">
        <v>405</v>
      </c>
      <c r="D93" s="187" t="s">
        <v>385</v>
      </c>
      <c r="E93" s="187"/>
      <c r="F93" s="187"/>
      <c r="G93" s="187"/>
      <c r="H93" s="88">
        <f>H94+H120</f>
        <v>834843785.41</v>
      </c>
      <c r="I93" s="88">
        <f>I94+I120</f>
        <v>727439934</v>
      </c>
      <c r="J93" s="88">
        <f>J94+J120</f>
        <v>745856634</v>
      </c>
    </row>
    <row r="94" spans="1:10" ht="15.75" customHeight="1">
      <c r="A94" s="87" t="s">
        <v>260</v>
      </c>
      <c r="B94" s="85" t="s">
        <v>503</v>
      </c>
      <c r="C94" s="187" t="s">
        <v>405</v>
      </c>
      <c r="D94" s="187" t="s">
        <v>385</v>
      </c>
      <c r="E94" s="187" t="s">
        <v>261</v>
      </c>
      <c r="F94" s="187"/>
      <c r="G94" s="187"/>
      <c r="H94" s="88">
        <f>H116+H95</f>
        <v>810601578.93</v>
      </c>
      <c r="I94" s="88">
        <f>I116+I95</f>
        <v>727439934</v>
      </c>
      <c r="J94" s="88">
        <f>J116+J95</f>
        <v>745856634</v>
      </c>
    </row>
    <row r="95" spans="1:10" ht="31.5" customHeight="1">
      <c r="A95" s="22" t="s">
        <v>268</v>
      </c>
      <c r="B95" s="85" t="s">
        <v>503</v>
      </c>
      <c r="C95" s="187" t="s">
        <v>405</v>
      </c>
      <c r="D95" s="187" t="s">
        <v>385</v>
      </c>
      <c r="E95" s="187" t="s">
        <v>269</v>
      </c>
      <c r="F95" s="187"/>
      <c r="G95" s="187"/>
      <c r="H95" s="88">
        <f>H96+H102+H106+H110+H113+H99</f>
        <v>808211178.93</v>
      </c>
      <c r="I95" s="88">
        <f>I96+I102+I106+I110+I113+I99</f>
        <v>725006334</v>
      </c>
      <c r="J95" s="88">
        <f>J96+J102+J106+J110+J113+J99</f>
        <v>743423034</v>
      </c>
    </row>
    <row r="96" spans="1:10" ht="120" customHeight="1">
      <c r="A96" s="177" t="s">
        <v>548</v>
      </c>
      <c r="B96" s="59" t="s">
        <v>503</v>
      </c>
      <c r="C96" s="99" t="s">
        <v>405</v>
      </c>
      <c r="D96" s="99" t="s">
        <v>385</v>
      </c>
      <c r="E96" s="99" t="s">
        <v>549</v>
      </c>
      <c r="F96" s="99"/>
      <c r="G96" s="99"/>
      <c r="H96" s="191">
        <f>SUM(H97:H98)</f>
        <v>44856504</v>
      </c>
      <c r="I96" s="191">
        <f>SUM(I97:I98)</f>
        <v>44856504</v>
      </c>
      <c r="J96" s="191">
        <f>SUM(J97:J98)</f>
        <v>44856504</v>
      </c>
    </row>
    <row r="97" spans="1:10" ht="60" customHeight="1">
      <c r="A97" s="71" t="s">
        <v>264</v>
      </c>
      <c r="B97" s="59" t="s">
        <v>503</v>
      </c>
      <c r="C97" s="99" t="s">
        <v>405</v>
      </c>
      <c r="D97" s="99" t="s">
        <v>385</v>
      </c>
      <c r="E97" s="99" t="s">
        <v>549</v>
      </c>
      <c r="F97" s="99" t="s">
        <v>299</v>
      </c>
      <c r="G97" s="99" t="s">
        <v>515</v>
      </c>
      <c r="H97" s="191">
        <v>12514314.52</v>
      </c>
      <c r="I97" s="191">
        <v>12514314.52</v>
      </c>
      <c r="J97" s="191">
        <v>12514314.52</v>
      </c>
    </row>
    <row r="98" spans="1:10" ht="30" customHeight="1">
      <c r="A98" s="195" t="s">
        <v>274</v>
      </c>
      <c r="B98" s="59" t="s">
        <v>503</v>
      </c>
      <c r="C98" s="99" t="s">
        <v>405</v>
      </c>
      <c r="D98" s="99" t="s">
        <v>385</v>
      </c>
      <c r="E98" s="99" t="s">
        <v>549</v>
      </c>
      <c r="F98" s="99" t="s">
        <v>417</v>
      </c>
      <c r="G98" s="99" t="s">
        <v>515</v>
      </c>
      <c r="H98" s="191">
        <v>32342189.48</v>
      </c>
      <c r="I98" s="191">
        <v>32342189.48</v>
      </c>
      <c r="J98" s="191">
        <v>32342189.48</v>
      </c>
    </row>
    <row r="99" spans="1:10" ht="30" customHeight="1">
      <c r="A99" s="71" t="s">
        <v>416</v>
      </c>
      <c r="B99" s="59" t="s">
        <v>503</v>
      </c>
      <c r="C99" s="99" t="s">
        <v>405</v>
      </c>
      <c r="D99" s="99" t="s">
        <v>385</v>
      </c>
      <c r="E99" s="99" t="s">
        <v>550</v>
      </c>
      <c r="F99" s="99"/>
      <c r="G99" s="99"/>
      <c r="H99" s="191">
        <f>SUM(H100:H101)</f>
        <v>10011395</v>
      </c>
      <c r="I99" s="191"/>
      <c r="J99" s="191"/>
    </row>
    <row r="100" spans="1:10" ht="60" customHeight="1">
      <c r="A100" s="71" t="s">
        <v>264</v>
      </c>
      <c r="B100" s="59" t="s">
        <v>503</v>
      </c>
      <c r="C100" s="99" t="s">
        <v>405</v>
      </c>
      <c r="D100" s="99" t="s">
        <v>385</v>
      </c>
      <c r="E100" s="99" t="s">
        <v>550</v>
      </c>
      <c r="F100" s="99" t="s">
        <v>299</v>
      </c>
      <c r="G100" s="99" t="s">
        <v>515</v>
      </c>
      <c r="H100" s="191">
        <f>2675197+620682+2712366</f>
        <v>6008245</v>
      </c>
      <c r="I100" s="191"/>
      <c r="J100" s="191"/>
    </row>
    <row r="101" spans="1:10" ht="30" customHeight="1">
      <c r="A101" s="195" t="s">
        <v>274</v>
      </c>
      <c r="B101" s="59" t="s">
        <v>503</v>
      </c>
      <c r="C101" s="99" t="s">
        <v>405</v>
      </c>
      <c r="D101" s="99" t="s">
        <v>385</v>
      </c>
      <c r="E101" s="99" t="s">
        <v>550</v>
      </c>
      <c r="F101" s="99" t="s">
        <v>417</v>
      </c>
      <c r="G101" s="99" t="s">
        <v>515</v>
      </c>
      <c r="H101" s="191">
        <f>1677633+624630+1700887</f>
        <v>4003150</v>
      </c>
      <c r="I101" s="191"/>
      <c r="J101" s="191"/>
    </row>
    <row r="102" spans="1:10" ht="75" customHeight="1">
      <c r="A102" s="177" t="s">
        <v>551</v>
      </c>
      <c r="B102" s="59" t="s">
        <v>503</v>
      </c>
      <c r="C102" s="99" t="s">
        <v>405</v>
      </c>
      <c r="D102" s="99" t="s">
        <v>385</v>
      </c>
      <c r="E102" s="99" t="s">
        <v>552</v>
      </c>
      <c r="F102" s="99"/>
      <c r="G102" s="99"/>
      <c r="H102" s="191">
        <f>H103+H104+H105</f>
        <v>663112018.93</v>
      </c>
      <c r="I102" s="191">
        <f>I103+I104+I105</f>
        <v>625605000</v>
      </c>
      <c r="J102" s="191">
        <f>J103+J104+J105</f>
        <v>644021700</v>
      </c>
    </row>
    <row r="103" spans="1:10" ht="60" customHeight="1">
      <c r="A103" s="71" t="s">
        <v>264</v>
      </c>
      <c r="B103" s="59" t="s">
        <v>503</v>
      </c>
      <c r="C103" s="99" t="s">
        <v>405</v>
      </c>
      <c r="D103" s="99" t="s">
        <v>385</v>
      </c>
      <c r="E103" s="99" t="s">
        <v>552</v>
      </c>
      <c r="F103" s="99" t="s">
        <v>299</v>
      </c>
      <c r="G103" s="99" t="s">
        <v>515</v>
      </c>
      <c r="H103" s="191">
        <f>197118408.23-70308+662250-1432200+911479-7990000</f>
        <v>189199629.23</v>
      </c>
      <c r="I103" s="191">
        <v>191189666.99</v>
      </c>
      <c r="J103" s="29">
        <v>197049924.44</v>
      </c>
    </row>
    <row r="104" spans="1:10" ht="30" customHeight="1">
      <c r="A104" s="71" t="s">
        <v>265</v>
      </c>
      <c r="B104" s="59" t="s">
        <v>503</v>
      </c>
      <c r="C104" s="99" t="s">
        <v>405</v>
      </c>
      <c r="D104" s="99" t="s">
        <v>385</v>
      </c>
      <c r="E104" s="99" t="s">
        <v>552</v>
      </c>
      <c r="F104" s="99" t="s">
        <v>330</v>
      </c>
      <c r="G104" s="99" t="s">
        <v>515</v>
      </c>
      <c r="H104" s="191">
        <v>8000000</v>
      </c>
      <c r="I104" s="191">
        <v>7880000</v>
      </c>
      <c r="J104" s="29">
        <v>7880000</v>
      </c>
    </row>
    <row r="105" spans="1:10" ht="30" customHeight="1">
      <c r="A105" s="195" t="s">
        <v>274</v>
      </c>
      <c r="B105" s="59" t="s">
        <v>503</v>
      </c>
      <c r="C105" s="99" t="s">
        <v>405</v>
      </c>
      <c r="D105" s="99" t="s">
        <v>385</v>
      </c>
      <c r="E105" s="99" t="s">
        <v>552</v>
      </c>
      <c r="F105" s="99" t="s">
        <v>417</v>
      </c>
      <c r="G105" s="99" t="s">
        <v>515</v>
      </c>
      <c r="H105" s="191">
        <f>439364719.77-8219101.07+1432200+3138481+7990000+18187960+4018130</f>
        <v>465912389.7</v>
      </c>
      <c r="I105" s="191">
        <v>426535333.01</v>
      </c>
      <c r="J105" s="29">
        <v>439091775.56</v>
      </c>
    </row>
    <row r="106" spans="1:10" ht="105" customHeight="1">
      <c r="A106" s="71" t="s">
        <v>553</v>
      </c>
      <c r="B106" s="59" t="s">
        <v>503</v>
      </c>
      <c r="C106" s="99" t="s">
        <v>405</v>
      </c>
      <c r="D106" s="99" t="s">
        <v>385</v>
      </c>
      <c r="E106" s="99" t="s">
        <v>554</v>
      </c>
      <c r="F106" s="99"/>
      <c r="G106" s="99"/>
      <c r="H106" s="191">
        <f>SUM(H107:H109)</f>
        <v>57634320</v>
      </c>
      <c r="I106" s="191">
        <f>SUM(I107:I109)</f>
        <v>54544830</v>
      </c>
      <c r="J106" s="191">
        <f>SUM(J107:J109)</f>
        <v>54544830</v>
      </c>
    </row>
    <row r="107" spans="1:10" ht="60" customHeight="1">
      <c r="A107" s="71" t="s">
        <v>264</v>
      </c>
      <c r="B107" s="59" t="s">
        <v>503</v>
      </c>
      <c r="C107" s="99" t="s">
        <v>405</v>
      </c>
      <c r="D107" s="99" t="s">
        <v>385</v>
      </c>
      <c r="E107" s="99" t="s">
        <v>554</v>
      </c>
      <c r="F107" s="99" t="s">
        <v>299</v>
      </c>
      <c r="G107" s="99" t="s">
        <v>515</v>
      </c>
      <c r="H107" s="191">
        <f>47060313+70308+175655.73+1302000+279040-11480</f>
        <v>48875836.73</v>
      </c>
      <c r="I107" s="191">
        <v>48059755</v>
      </c>
      <c r="J107" s="191">
        <v>48059755</v>
      </c>
    </row>
    <row r="108" spans="1:10" ht="30" customHeight="1">
      <c r="A108" s="71" t="s">
        <v>265</v>
      </c>
      <c r="B108" s="59" t="s">
        <v>503</v>
      </c>
      <c r="C108" s="99" t="s">
        <v>405</v>
      </c>
      <c r="D108" s="99" t="s">
        <v>385</v>
      </c>
      <c r="E108" s="99" t="s">
        <v>554</v>
      </c>
      <c r="F108" s="99" t="s">
        <v>330</v>
      </c>
      <c r="G108" s="99" t="s">
        <v>515</v>
      </c>
      <c r="H108" s="191">
        <f>7354209+538140+776360</f>
        <v>8668709</v>
      </c>
      <c r="I108" s="191">
        <v>6485075</v>
      </c>
      <c r="J108" s="191">
        <v>6485075</v>
      </c>
    </row>
    <row r="109" spans="1:10" ht="16.5" customHeight="1">
      <c r="A109" s="71" t="s">
        <v>267</v>
      </c>
      <c r="B109" s="59" t="s">
        <v>503</v>
      </c>
      <c r="C109" s="99" t="s">
        <v>405</v>
      </c>
      <c r="D109" s="99" t="s">
        <v>385</v>
      </c>
      <c r="E109" s="99" t="s">
        <v>554</v>
      </c>
      <c r="F109" s="99" t="s">
        <v>306</v>
      </c>
      <c r="G109" s="99" t="s">
        <v>515</v>
      </c>
      <c r="H109" s="191">
        <f>60000+18294.27+11480</f>
        <v>89774.27</v>
      </c>
      <c r="I109" s="191">
        <v>0</v>
      </c>
      <c r="J109" s="29">
        <v>0</v>
      </c>
    </row>
    <row r="110" spans="1:10" ht="135" customHeight="1">
      <c r="A110" s="71" t="s">
        <v>555</v>
      </c>
      <c r="B110" s="59" t="s">
        <v>503</v>
      </c>
      <c r="C110" s="99" t="s">
        <v>405</v>
      </c>
      <c r="D110" s="99" t="s">
        <v>385</v>
      </c>
      <c r="E110" s="99" t="s">
        <v>556</v>
      </c>
      <c r="F110" s="99"/>
      <c r="G110" s="99"/>
      <c r="H110" s="191">
        <f>SUM(H111:H112)</f>
        <v>6895821</v>
      </c>
      <c r="I110" s="191">
        <f>SUM(I111:I112)</f>
        <v>0</v>
      </c>
      <c r="J110" s="191">
        <f>SUM(J111:J112)</f>
        <v>0</v>
      </c>
    </row>
    <row r="111" spans="1:10" ht="60" customHeight="1">
      <c r="A111" s="71" t="s">
        <v>264</v>
      </c>
      <c r="B111" s="59" t="s">
        <v>503</v>
      </c>
      <c r="C111" s="99" t="s">
        <v>405</v>
      </c>
      <c r="D111" s="99" t="s">
        <v>385</v>
      </c>
      <c r="E111" s="99" t="s">
        <v>556</v>
      </c>
      <c r="F111" s="99" t="s">
        <v>299</v>
      </c>
      <c r="G111" s="99" t="s">
        <v>515</v>
      </c>
      <c r="H111" s="191">
        <f>610190+1371001</f>
        <v>1981191</v>
      </c>
      <c r="I111" s="191">
        <v>0</v>
      </c>
      <c r="J111" s="29">
        <v>0</v>
      </c>
    </row>
    <row r="112" spans="1:10" ht="30" customHeight="1">
      <c r="A112" s="71" t="s">
        <v>274</v>
      </c>
      <c r="B112" s="59" t="s">
        <v>503</v>
      </c>
      <c r="C112" s="99" t="s">
        <v>405</v>
      </c>
      <c r="D112" s="99" t="s">
        <v>385</v>
      </c>
      <c r="E112" s="99" t="s">
        <v>556</v>
      </c>
      <c r="F112" s="99" t="s">
        <v>417</v>
      </c>
      <c r="G112" s="99" t="s">
        <v>515</v>
      </c>
      <c r="H112" s="191">
        <f>1399230+3515400</f>
        <v>4914630</v>
      </c>
      <c r="I112" s="191">
        <v>0</v>
      </c>
      <c r="J112" s="29">
        <v>0</v>
      </c>
    </row>
    <row r="113" spans="1:10" ht="60" customHeight="1">
      <c r="A113" s="71" t="s">
        <v>557</v>
      </c>
      <c r="B113" s="59" t="s">
        <v>503</v>
      </c>
      <c r="C113" s="99" t="s">
        <v>405</v>
      </c>
      <c r="D113" s="99" t="s">
        <v>385</v>
      </c>
      <c r="E113" s="99" t="s">
        <v>558</v>
      </c>
      <c r="F113" s="99"/>
      <c r="G113" s="99"/>
      <c r="H113" s="191">
        <f>SUM(H114:H115)</f>
        <v>25701120</v>
      </c>
      <c r="I113" s="191">
        <f>SUM(I114:I115)</f>
        <v>0</v>
      </c>
      <c r="J113" s="191">
        <f>SUM(J114:J115)</f>
        <v>0</v>
      </c>
    </row>
    <row r="114" spans="1:10" ht="30" customHeight="1">
      <c r="A114" s="71" t="s">
        <v>265</v>
      </c>
      <c r="B114" s="59" t="s">
        <v>503</v>
      </c>
      <c r="C114" s="99" t="s">
        <v>405</v>
      </c>
      <c r="D114" s="99" t="s">
        <v>385</v>
      </c>
      <c r="E114" s="99" t="s">
        <v>558</v>
      </c>
      <c r="F114" s="99" t="s">
        <v>330</v>
      </c>
      <c r="G114" s="99" t="s">
        <v>515</v>
      </c>
      <c r="H114" s="191">
        <v>2104973.33</v>
      </c>
      <c r="I114" s="191">
        <v>0</v>
      </c>
      <c r="J114" s="29">
        <v>0</v>
      </c>
    </row>
    <row r="115" spans="1:10" ht="30" customHeight="1">
      <c r="A115" s="71" t="s">
        <v>274</v>
      </c>
      <c r="B115" s="59" t="s">
        <v>503</v>
      </c>
      <c r="C115" s="99" t="s">
        <v>405</v>
      </c>
      <c r="D115" s="99" t="s">
        <v>385</v>
      </c>
      <c r="E115" s="99" t="s">
        <v>558</v>
      </c>
      <c r="F115" s="99" t="s">
        <v>417</v>
      </c>
      <c r="G115" s="99" t="s">
        <v>515</v>
      </c>
      <c r="H115" s="191">
        <v>23596146.67</v>
      </c>
      <c r="I115" s="191">
        <v>0</v>
      </c>
      <c r="J115" s="29">
        <v>0</v>
      </c>
    </row>
    <row r="116" spans="1:10" ht="15.75" customHeight="1">
      <c r="A116" s="22" t="s">
        <v>544</v>
      </c>
      <c r="B116" s="85" t="s">
        <v>503</v>
      </c>
      <c r="C116" s="187" t="s">
        <v>405</v>
      </c>
      <c r="D116" s="187" t="s">
        <v>385</v>
      </c>
      <c r="E116" s="187" t="s">
        <v>545</v>
      </c>
      <c r="F116" s="187"/>
      <c r="G116" s="99"/>
      <c r="H116" s="88">
        <f>H117</f>
        <v>2390400</v>
      </c>
      <c r="I116" s="88">
        <f>I117</f>
        <v>2433600</v>
      </c>
      <c r="J116" s="88">
        <f>J117</f>
        <v>2433600</v>
      </c>
    </row>
    <row r="117" spans="1:10" ht="60" customHeight="1">
      <c r="A117" s="195" t="s">
        <v>546</v>
      </c>
      <c r="B117" s="59" t="s">
        <v>503</v>
      </c>
      <c r="C117" s="99" t="s">
        <v>405</v>
      </c>
      <c r="D117" s="99" t="s">
        <v>385</v>
      </c>
      <c r="E117" s="99" t="s">
        <v>547</v>
      </c>
      <c r="F117" s="99"/>
      <c r="G117" s="99"/>
      <c r="H117" s="191">
        <f>SUM(H118:H119)</f>
        <v>2390400</v>
      </c>
      <c r="I117" s="191">
        <f>SUM(I118:I119)</f>
        <v>2433600</v>
      </c>
      <c r="J117" s="191">
        <f>SUM(J118:J119)</f>
        <v>2433600</v>
      </c>
    </row>
    <row r="118" spans="1:10" ht="60" customHeight="1">
      <c r="A118" s="71" t="s">
        <v>264</v>
      </c>
      <c r="B118" s="59" t="s">
        <v>503</v>
      </c>
      <c r="C118" s="99" t="s">
        <v>405</v>
      </c>
      <c r="D118" s="99" t="s">
        <v>385</v>
      </c>
      <c r="E118" s="99" t="s">
        <v>547</v>
      </c>
      <c r="F118" s="99" t="s">
        <v>299</v>
      </c>
      <c r="G118" s="99" t="s">
        <v>515</v>
      </c>
      <c r="H118" s="191">
        <v>1411200</v>
      </c>
      <c r="I118" s="191">
        <v>1411200</v>
      </c>
      <c r="J118" s="191">
        <v>1411200</v>
      </c>
    </row>
    <row r="119" spans="1:10" ht="30" customHeight="1">
      <c r="A119" s="71" t="s">
        <v>274</v>
      </c>
      <c r="B119" s="59" t="s">
        <v>503</v>
      </c>
      <c r="C119" s="99" t="s">
        <v>405</v>
      </c>
      <c r="D119" s="99" t="s">
        <v>385</v>
      </c>
      <c r="E119" s="99" t="s">
        <v>547</v>
      </c>
      <c r="F119" s="99" t="s">
        <v>417</v>
      </c>
      <c r="G119" s="99" t="s">
        <v>515</v>
      </c>
      <c r="H119" s="191">
        <v>979200</v>
      </c>
      <c r="I119" s="191">
        <v>1022400</v>
      </c>
      <c r="J119" s="29">
        <v>1022400</v>
      </c>
    </row>
    <row r="120" spans="1:10" ht="31.5" customHeight="1">
      <c r="A120" s="192" t="s">
        <v>345</v>
      </c>
      <c r="B120" s="85" t="s">
        <v>503</v>
      </c>
      <c r="C120" s="187" t="s">
        <v>405</v>
      </c>
      <c r="D120" s="187" t="s">
        <v>385</v>
      </c>
      <c r="E120" s="187" t="s">
        <v>261</v>
      </c>
      <c r="F120" s="187"/>
      <c r="G120" s="187"/>
      <c r="H120" s="88">
        <f>H121</f>
        <v>24242206.48</v>
      </c>
      <c r="I120" s="88">
        <f>I121</f>
        <v>0</v>
      </c>
      <c r="J120" s="88">
        <f>J121</f>
        <v>0</v>
      </c>
    </row>
    <row r="121" spans="1:10" ht="15.75" customHeight="1">
      <c r="A121" s="192" t="s">
        <v>559</v>
      </c>
      <c r="B121" s="85" t="s">
        <v>503</v>
      </c>
      <c r="C121" s="187" t="s">
        <v>405</v>
      </c>
      <c r="D121" s="187" t="s">
        <v>385</v>
      </c>
      <c r="E121" s="187" t="s">
        <v>560</v>
      </c>
      <c r="F121" s="187"/>
      <c r="G121" s="187"/>
      <c r="H121" s="88">
        <f>H122</f>
        <v>24242206.48</v>
      </c>
      <c r="I121" s="88">
        <f>I122</f>
        <v>0</v>
      </c>
      <c r="J121" s="88">
        <f>J122</f>
        <v>0</v>
      </c>
    </row>
    <row r="122" spans="1:10" ht="30" customHeight="1">
      <c r="A122" s="71" t="s">
        <v>561</v>
      </c>
      <c r="B122" s="59" t="s">
        <v>503</v>
      </c>
      <c r="C122" s="99" t="s">
        <v>405</v>
      </c>
      <c r="D122" s="99" t="s">
        <v>385</v>
      </c>
      <c r="E122" s="99" t="s">
        <v>562</v>
      </c>
      <c r="F122" s="187"/>
      <c r="G122" s="99"/>
      <c r="H122" s="191">
        <f>H123</f>
        <v>24242206.48</v>
      </c>
      <c r="I122" s="191">
        <f>I123</f>
        <v>0</v>
      </c>
      <c r="J122" s="191">
        <f>J123</f>
        <v>0</v>
      </c>
    </row>
    <row r="123" spans="1:10" ht="30" customHeight="1">
      <c r="A123" s="71" t="s">
        <v>350</v>
      </c>
      <c r="B123" s="59" t="s">
        <v>503</v>
      </c>
      <c r="C123" s="99" t="s">
        <v>405</v>
      </c>
      <c r="D123" s="99" t="s">
        <v>385</v>
      </c>
      <c r="E123" s="99" t="s">
        <v>562</v>
      </c>
      <c r="F123" s="99" t="s">
        <v>344</v>
      </c>
      <c r="G123" s="99" t="s">
        <v>515</v>
      </c>
      <c r="H123" s="191">
        <v>24242206.48</v>
      </c>
      <c r="I123" s="191">
        <v>0</v>
      </c>
      <c r="J123" s="191">
        <v>0</v>
      </c>
    </row>
    <row r="124" spans="1:10" ht="15.75" customHeight="1">
      <c r="A124" s="87" t="s">
        <v>441</v>
      </c>
      <c r="B124" s="85" t="s">
        <v>503</v>
      </c>
      <c r="C124" s="187" t="s">
        <v>405</v>
      </c>
      <c r="D124" s="187" t="s">
        <v>393</v>
      </c>
      <c r="E124" s="187"/>
      <c r="F124" s="187"/>
      <c r="G124" s="187"/>
      <c r="H124" s="88">
        <f>H125+H132</f>
        <v>5946520</v>
      </c>
      <c r="I124" s="88">
        <f>I125+I132</f>
        <v>302400</v>
      </c>
      <c r="J124" s="88">
        <f>J125+J132</f>
        <v>302400</v>
      </c>
    </row>
    <row r="125" spans="1:10" ht="15.75" customHeight="1">
      <c r="A125" s="87" t="s">
        <v>260</v>
      </c>
      <c r="B125" s="85" t="s">
        <v>503</v>
      </c>
      <c r="C125" s="187" t="s">
        <v>405</v>
      </c>
      <c r="D125" s="187" t="s">
        <v>393</v>
      </c>
      <c r="E125" s="187" t="s">
        <v>261</v>
      </c>
      <c r="F125" s="187"/>
      <c r="G125" s="187"/>
      <c r="H125" s="88">
        <f>H129+H126</f>
        <v>2236401</v>
      </c>
      <c r="I125" s="88">
        <f>I129+I126</f>
        <v>302400</v>
      </c>
      <c r="J125" s="88">
        <f>J129+J126</f>
        <v>302400</v>
      </c>
    </row>
    <row r="126" spans="1:10" ht="15.75" customHeight="1">
      <c r="A126" s="87" t="s">
        <v>275</v>
      </c>
      <c r="B126" s="85" t="s">
        <v>503</v>
      </c>
      <c r="C126" s="187" t="s">
        <v>405</v>
      </c>
      <c r="D126" s="187" t="s">
        <v>393</v>
      </c>
      <c r="E126" s="187" t="s">
        <v>276</v>
      </c>
      <c r="F126" s="187"/>
      <c r="G126" s="187"/>
      <c r="H126" s="88">
        <f>H127</f>
        <v>1948401</v>
      </c>
      <c r="I126" s="88">
        <f>I127</f>
        <v>0</v>
      </c>
      <c r="J126" s="88">
        <f>J127</f>
        <v>0</v>
      </c>
    </row>
    <row r="127" spans="1:10" ht="30" customHeight="1">
      <c r="A127" s="71" t="s">
        <v>416</v>
      </c>
      <c r="B127" s="59" t="s">
        <v>503</v>
      </c>
      <c r="C127" s="99" t="s">
        <v>405</v>
      </c>
      <c r="D127" s="99" t="s">
        <v>393</v>
      </c>
      <c r="E127" s="99" t="s">
        <v>563</v>
      </c>
      <c r="F127" s="99"/>
      <c r="G127" s="99"/>
      <c r="H127" s="191">
        <f>H128</f>
        <v>1948401</v>
      </c>
      <c r="I127" s="191">
        <f>I128</f>
        <v>0</v>
      </c>
      <c r="J127" s="191">
        <f>J128</f>
        <v>0</v>
      </c>
    </row>
    <row r="128" spans="1:10" ht="60" customHeight="1">
      <c r="A128" s="71" t="s">
        <v>264</v>
      </c>
      <c r="B128" s="59" t="s">
        <v>503</v>
      </c>
      <c r="C128" s="99" t="s">
        <v>405</v>
      </c>
      <c r="D128" s="99" t="s">
        <v>393</v>
      </c>
      <c r="E128" s="99" t="s">
        <v>563</v>
      </c>
      <c r="F128" s="99" t="s">
        <v>299</v>
      </c>
      <c r="G128" s="99" t="s">
        <v>515</v>
      </c>
      <c r="H128" s="191">
        <f>441480+409497+356065+741359</f>
        <v>1948401</v>
      </c>
      <c r="I128" s="191">
        <v>0</v>
      </c>
      <c r="J128" s="191">
        <v>0</v>
      </c>
    </row>
    <row r="129" spans="1:10" ht="15.75" customHeight="1">
      <c r="A129" s="22" t="s">
        <v>544</v>
      </c>
      <c r="B129" s="85" t="s">
        <v>503</v>
      </c>
      <c r="C129" s="187" t="s">
        <v>405</v>
      </c>
      <c r="D129" s="187" t="s">
        <v>393</v>
      </c>
      <c r="E129" s="187" t="s">
        <v>545</v>
      </c>
      <c r="F129" s="187"/>
      <c r="G129" s="187"/>
      <c r="H129" s="88">
        <f>H130</f>
        <v>288000</v>
      </c>
      <c r="I129" s="88">
        <f>I130</f>
        <v>302400</v>
      </c>
      <c r="J129" s="88">
        <f>J130</f>
        <v>302400</v>
      </c>
    </row>
    <row r="130" spans="1:10" ht="60" customHeight="1">
      <c r="A130" s="195" t="s">
        <v>546</v>
      </c>
      <c r="B130" s="59" t="s">
        <v>503</v>
      </c>
      <c r="C130" s="99" t="s">
        <v>405</v>
      </c>
      <c r="D130" s="99" t="s">
        <v>393</v>
      </c>
      <c r="E130" s="99" t="s">
        <v>547</v>
      </c>
      <c r="F130" s="99"/>
      <c r="G130" s="99"/>
      <c r="H130" s="191">
        <f>H131</f>
        <v>288000</v>
      </c>
      <c r="I130" s="191">
        <f>I131</f>
        <v>302400</v>
      </c>
      <c r="J130" s="191">
        <f>J131</f>
        <v>302400</v>
      </c>
    </row>
    <row r="131" spans="1:10" ht="60" customHeight="1">
      <c r="A131" s="71" t="s">
        <v>264</v>
      </c>
      <c r="B131" s="59" t="s">
        <v>503</v>
      </c>
      <c r="C131" s="99" t="s">
        <v>405</v>
      </c>
      <c r="D131" s="99" t="s">
        <v>393</v>
      </c>
      <c r="E131" s="99" t="s">
        <v>547</v>
      </c>
      <c r="F131" s="99" t="s">
        <v>299</v>
      </c>
      <c r="G131" s="99" t="s">
        <v>515</v>
      </c>
      <c r="H131" s="191">
        <v>288000</v>
      </c>
      <c r="I131" s="191">
        <v>302400</v>
      </c>
      <c r="J131" s="191">
        <v>302400</v>
      </c>
    </row>
    <row r="132" spans="1:10" ht="15.75" customHeight="1">
      <c r="A132" s="87" t="s">
        <v>279</v>
      </c>
      <c r="B132" s="85" t="s">
        <v>503</v>
      </c>
      <c r="C132" s="187" t="s">
        <v>405</v>
      </c>
      <c r="D132" s="187" t="s">
        <v>393</v>
      </c>
      <c r="E132" s="187" t="s">
        <v>261</v>
      </c>
      <c r="F132" s="187"/>
      <c r="G132" s="187"/>
      <c r="H132" s="88">
        <f>H133</f>
        <v>3710119</v>
      </c>
      <c r="I132" s="88">
        <f>I133</f>
        <v>0</v>
      </c>
      <c r="J132" s="88">
        <f>J133</f>
        <v>0</v>
      </c>
    </row>
    <row r="133" spans="1:10" ht="15.75" customHeight="1">
      <c r="A133" s="87" t="s">
        <v>275</v>
      </c>
      <c r="B133" s="85" t="s">
        <v>503</v>
      </c>
      <c r="C133" s="187" t="s">
        <v>405</v>
      </c>
      <c r="D133" s="187" t="s">
        <v>393</v>
      </c>
      <c r="E133" s="187" t="s">
        <v>276</v>
      </c>
      <c r="F133" s="187"/>
      <c r="G133" s="187"/>
      <c r="H133" s="191">
        <f>H134</f>
        <v>3710119</v>
      </c>
      <c r="I133" s="191">
        <f>I134</f>
        <v>0</v>
      </c>
      <c r="J133" s="191">
        <f>J134</f>
        <v>0</v>
      </c>
    </row>
    <row r="134" spans="1:10" ht="30" customHeight="1">
      <c r="A134" s="71" t="s">
        <v>416</v>
      </c>
      <c r="B134" s="59" t="s">
        <v>503</v>
      </c>
      <c r="C134" s="99" t="s">
        <v>405</v>
      </c>
      <c r="D134" s="99" t="s">
        <v>393</v>
      </c>
      <c r="E134" s="99" t="s">
        <v>563</v>
      </c>
      <c r="F134" s="99"/>
      <c r="G134" s="99"/>
      <c r="H134" s="191">
        <f>H135</f>
        <v>3710119</v>
      </c>
      <c r="I134" s="191">
        <f>I135</f>
        <v>0</v>
      </c>
      <c r="J134" s="191">
        <f>J135</f>
        <v>0</v>
      </c>
    </row>
    <row r="135" spans="1:10" ht="60" customHeight="1">
      <c r="A135" s="71" t="s">
        <v>264</v>
      </c>
      <c r="B135" s="59" t="s">
        <v>503</v>
      </c>
      <c r="C135" s="99" t="s">
        <v>405</v>
      </c>
      <c r="D135" s="99" t="s">
        <v>393</v>
      </c>
      <c r="E135" s="99" t="s">
        <v>563</v>
      </c>
      <c r="F135" s="99" t="s">
        <v>299</v>
      </c>
      <c r="G135" s="99" t="s">
        <v>515</v>
      </c>
      <c r="H135" s="191">
        <f>1030120+579243+2100756</f>
        <v>3710119</v>
      </c>
      <c r="I135" s="191">
        <v>0</v>
      </c>
      <c r="J135" s="191">
        <v>0</v>
      </c>
    </row>
    <row r="136" spans="1:10" ht="15.75" customHeight="1">
      <c r="A136" s="87" t="s">
        <v>484</v>
      </c>
      <c r="B136" s="85" t="s">
        <v>503</v>
      </c>
      <c r="C136" s="187" t="s">
        <v>405</v>
      </c>
      <c r="D136" s="187" t="s">
        <v>405</v>
      </c>
      <c r="E136" s="187"/>
      <c r="F136" s="187"/>
      <c r="G136" s="187"/>
      <c r="H136" s="88">
        <f>H137</f>
        <v>8186260</v>
      </c>
      <c r="I136" s="88">
        <f>I137</f>
        <v>0</v>
      </c>
      <c r="J136" s="88">
        <f>J137</f>
        <v>0</v>
      </c>
    </row>
    <row r="137" spans="1:10" ht="15.75" customHeight="1">
      <c r="A137" s="87" t="s">
        <v>487</v>
      </c>
      <c r="B137" s="85" t="s">
        <v>503</v>
      </c>
      <c r="C137" s="187" t="s">
        <v>405</v>
      </c>
      <c r="D137" s="187" t="s">
        <v>405</v>
      </c>
      <c r="E137" s="187" t="s">
        <v>261</v>
      </c>
      <c r="F137" s="187"/>
      <c r="G137" s="187"/>
      <c r="H137" s="88">
        <f>H138</f>
        <v>8186260</v>
      </c>
      <c r="I137" s="88">
        <f>I138</f>
        <v>0</v>
      </c>
      <c r="J137" s="88">
        <f>J138</f>
        <v>0</v>
      </c>
    </row>
    <row r="138" spans="1:10" ht="15.75" customHeight="1">
      <c r="A138" s="87" t="s">
        <v>277</v>
      </c>
      <c r="B138" s="85" t="s">
        <v>503</v>
      </c>
      <c r="C138" s="187" t="s">
        <v>405</v>
      </c>
      <c r="D138" s="187" t="s">
        <v>405</v>
      </c>
      <c r="E138" s="187" t="s">
        <v>278</v>
      </c>
      <c r="F138" s="187"/>
      <c r="G138" s="187"/>
      <c r="H138" s="88">
        <f>H139+H142</f>
        <v>8186260</v>
      </c>
      <c r="I138" s="88">
        <f>I139+I142</f>
        <v>0</v>
      </c>
      <c r="J138" s="88">
        <f>J139+J142</f>
        <v>0</v>
      </c>
    </row>
    <row r="139" spans="1:10" ht="30" customHeight="1">
      <c r="A139" s="71" t="s">
        <v>564</v>
      </c>
      <c r="B139" s="59" t="s">
        <v>503</v>
      </c>
      <c r="C139" s="99" t="s">
        <v>405</v>
      </c>
      <c r="D139" s="99" t="s">
        <v>405</v>
      </c>
      <c r="E139" s="99" t="s">
        <v>565</v>
      </c>
      <c r="F139" s="99"/>
      <c r="G139" s="99"/>
      <c r="H139" s="191">
        <f>SUM(H140:H141)</f>
        <v>4531900</v>
      </c>
      <c r="I139" s="191">
        <f>SUM(I140:I141)</f>
        <v>0</v>
      </c>
      <c r="J139" s="191">
        <f>SUM(J140:J141)</f>
        <v>0</v>
      </c>
    </row>
    <row r="140" spans="1:10" ht="30" customHeight="1">
      <c r="A140" s="71" t="s">
        <v>265</v>
      </c>
      <c r="B140" s="59" t="s">
        <v>503</v>
      </c>
      <c r="C140" s="99" t="s">
        <v>405</v>
      </c>
      <c r="D140" s="99" t="s">
        <v>405</v>
      </c>
      <c r="E140" s="99" t="s">
        <v>565</v>
      </c>
      <c r="F140" s="99" t="s">
        <v>330</v>
      </c>
      <c r="G140" s="99" t="s">
        <v>515</v>
      </c>
      <c r="H140" s="191">
        <v>1707615</v>
      </c>
      <c r="I140" s="191">
        <v>0</v>
      </c>
      <c r="J140" s="191">
        <v>0</v>
      </c>
    </row>
    <row r="141" spans="1:10" ht="30" customHeight="1">
      <c r="A141" s="71" t="s">
        <v>274</v>
      </c>
      <c r="B141" s="59" t="s">
        <v>503</v>
      </c>
      <c r="C141" s="99" t="s">
        <v>405</v>
      </c>
      <c r="D141" s="99" t="s">
        <v>405</v>
      </c>
      <c r="E141" s="99" t="s">
        <v>565</v>
      </c>
      <c r="F141" s="99" t="s">
        <v>417</v>
      </c>
      <c r="G141" s="99" t="s">
        <v>515</v>
      </c>
      <c r="H141" s="191">
        <v>2824285</v>
      </c>
      <c r="I141" s="191">
        <v>0</v>
      </c>
      <c r="J141" s="191">
        <v>0</v>
      </c>
    </row>
    <row r="142" spans="1:10" ht="45" customHeight="1">
      <c r="A142" s="71" t="s">
        <v>566</v>
      </c>
      <c r="B142" s="59" t="s">
        <v>503</v>
      </c>
      <c r="C142" s="99" t="s">
        <v>405</v>
      </c>
      <c r="D142" s="99" t="s">
        <v>405</v>
      </c>
      <c r="E142" s="99" t="s">
        <v>567</v>
      </c>
      <c r="F142" s="99"/>
      <c r="G142" s="99"/>
      <c r="H142" s="191">
        <f>H143</f>
        <v>3654360</v>
      </c>
      <c r="I142" s="191">
        <f>I143</f>
        <v>0</v>
      </c>
      <c r="J142" s="191">
        <f>J143</f>
        <v>0</v>
      </c>
    </row>
    <row r="143" spans="1:10" ht="30" customHeight="1">
      <c r="A143" s="71" t="s">
        <v>274</v>
      </c>
      <c r="B143" s="59" t="s">
        <v>503</v>
      </c>
      <c r="C143" s="99" t="s">
        <v>405</v>
      </c>
      <c r="D143" s="99" t="s">
        <v>405</v>
      </c>
      <c r="E143" s="99" t="s">
        <v>567</v>
      </c>
      <c r="F143" s="99" t="s">
        <v>417</v>
      </c>
      <c r="G143" s="99" t="s">
        <v>515</v>
      </c>
      <c r="H143" s="191">
        <v>3654360</v>
      </c>
      <c r="I143" s="191"/>
      <c r="J143" s="191"/>
    </row>
    <row r="144" spans="1:10" ht="15.75" customHeight="1">
      <c r="A144" s="87" t="s">
        <v>442</v>
      </c>
      <c r="B144" s="85" t="s">
        <v>503</v>
      </c>
      <c r="C144" s="187" t="s">
        <v>405</v>
      </c>
      <c r="D144" s="187" t="s">
        <v>443</v>
      </c>
      <c r="E144" s="187"/>
      <c r="F144" s="187"/>
      <c r="G144" s="187"/>
      <c r="H144" s="88">
        <f>H145</f>
        <v>2276290</v>
      </c>
      <c r="I144" s="88">
        <f>I145</f>
        <v>0</v>
      </c>
      <c r="J144" s="88">
        <f>J145</f>
        <v>0</v>
      </c>
    </row>
    <row r="145" spans="1:10" ht="15.75" customHeight="1">
      <c r="A145" s="87" t="s">
        <v>487</v>
      </c>
      <c r="B145" s="85" t="s">
        <v>503</v>
      </c>
      <c r="C145" s="187" t="s">
        <v>405</v>
      </c>
      <c r="D145" s="187" t="s">
        <v>443</v>
      </c>
      <c r="E145" s="187" t="s">
        <v>261</v>
      </c>
      <c r="F145" s="187"/>
      <c r="G145" s="187"/>
      <c r="H145" s="88">
        <f>H146</f>
        <v>2276290</v>
      </c>
      <c r="I145" s="88">
        <f>I146</f>
        <v>0</v>
      </c>
      <c r="J145" s="88">
        <f>J146</f>
        <v>0</v>
      </c>
    </row>
    <row r="146" spans="1:10" ht="15.75" customHeight="1">
      <c r="A146" s="87" t="s">
        <v>262</v>
      </c>
      <c r="B146" s="85" t="s">
        <v>503</v>
      </c>
      <c r="C146" s="187" t="s">
        <v>405</v>
      </c>
      <c r="D146" s="187" t="s">
        <v>443</v>
      </c>
      <c r="E146" s="187" t="s">
        <v>263</v>
      </c>
      <c r="F146" s="187"/>
      <c r="G146" s="187"/>
      <c r="H146" s="88">
        <f>H147</f>
        <v>2276290</v>
      </c>
      <c r="I146" s="88">
        <f>I147</f>
        <v>0</v>
      </c>
      <c r="J146" s="88">
        <f>J147</f>
        <v>0</v>
      </c>
    </row>
    <row r="147" spans="1:10" ht="30" customHeight="1">
      <c r="A147" s="71" t="s">
        <v>416</v>
      </c>
      <c r="B147" s="59" t="s">
        <v>503</v>
      </c>
      <c r="C147" s="99" t="s">
        <v>405</v>
      </c>
      <c r="D147" s="99" t="s">
        <v>443</v>
      </c>
      <c r="E147" s="99" t="s">
        <v>568</v>
      </c>
      <c r="F147" s="99"/>
      <c r="G147" s="99"/>
      <c r="H147" s="191">
        <f>H148</f>
        <v>2276290</v>
      </c>
      <c r="I147" s="191">
        <f>I148</f>
        <v>0</v>
      </c>
      <c r="J147" s="191">
        <f>J148</f>
        <v>0</v>
      </c>
    </row>
    <row r="148" spans="1:10" ht="60" customHeight="1">
      <c r="A148" s="71" t="s">
        <v>264</v>
      </c>
      <c r="B148" s="59" t="s">
        <v>503</v>
      </c>
      <c r="C148" s="99" t="s">
        <v>405</v>
      </c>
      <c r="D148" s="99" t="s">
        <v>443</v>
      </c>
      <c r="E148" s="99" t="s">
        <v>568</v>
      </c>
      <c r="F148" s="99" t="s">
        <v>299</v>
      </c>
      <c r="G148" s="99" t="s">
        <v>515</v>
      </c>
      <c r="H148" s="191">
        <f>91920+2184370</f>
        <v>2276290</v>
      </c>
      <c r="I148" s="191">
        <v>0</v>
      </c>
      <c r="J148" s="191">
        <v>0</v>
      </c>
    </row>
    <row r="149" spans="1:10" ht="15.75" customHeight="1">
      <c r="A149" s="87" t="s">
        <v>444</v>
      </c>
      <c r="B149" s="85" t="s">
        <v>503</v>
      </c>
      <c r="C149" s="91" t="s">
        <v>445</v>
      </c>
      <c r="D149" s="91"/>
      <c r="E149" s="132"/>
      <c r="F149" s="187"/>
      <c r="G149" s="187"/>
      <c r="H149" s="88">
        <f>H150+H161</f>
        <v>5424230</v>
      </c>
      <c r="I149" s="88">
        <f>I150+I161</f>
        <v>0</v>
      </c>
      <c r="J149" s="88">
        <f>J150+J161</f>
        <v>0</v>
      </c>
    </row>
    <row r="150" spans="1:10" ht="15.75" customHeight="1">
      <c r="A150" s="87" t="s">
        <v>446</v>
      </c>
      <c r="B150" s="85" t="s">
        <v>503</v>
      </c>
      <c r="C150" s="91" t="s">
        <v>445</v>
      </c>
      <c r="D150" s="91" t="s">
        <v>383</v>
      </c>
      <c r="E150" s="132"/>
      <c r="F150" s="187"/>
      <c r="G150" s="187"/>
      <c r="H150" s="88">
        <f>H151</f>
        <v>4675730</v>
      </c>
      <c r="I150" s="88">
        <f>I151</f>
        <v>0</v>
      </c>
      <c r="J150" s="88">
        <f>J151</f>
        <v>0</v>
      </c>
    </row>
    <row r="151" spans="1:10" ht="15.75" customHeight="1">
      <c r="A151" s="87" t="s">
        <v>279</v>
      </c>
      <c r="B151" s="85" t="s">
        <v>503</v>
      </c>
      <c r="C151" s="91" t="s">
        <v>445</v>
      </c>
      <c r="D151" s="91" t="s">
        <v>383</v>
      </c>
      <c r="E151" s="164" t="s">
        <v>280</v>
      </c>
      <c r="F151" s="187"/>
      <c r="G151" s="187"/>
      <c r="H151" s="88">
        <f>H152</f>
        <v>4675730</v>
      </c>
      <c r="I151" s="88">
        <f>I152</f>
        <v>0</v>
      </c>
      <c r="J151" s="88">
        <f>J152</f>
        <v>0</v>
      </c>
    </row>
    <row r="152" spans="1:10" ht="47.25" customHeight="1">
      <c r="A152" s="87" t="s">
        <v>284</v>
      </c>
      <c r="B152" s="85" t="s">
        <v>503</v>
      </c>
      <c r="C152" s="187" t="s">
        <v>445</v>
      </c>
      <c r="D152" s="187" t="s">
        <v>383</v>
      </c>
      <c r="E152" s="187" t="s">
        <v>285</v>
      </c>
      <c r="F152" s="187"/>
      <c r="G152" s="187"/>
      <c r="H152" s="88">
        <f>H159+H153+H156</f>
        <v>4675730</v>
      </c>
      <c r="I152" s="88">
        <f>I159+I153+I156</f>
        <v>0</v>
      </c>
      <c r="J152" s="88">
        <f>J159+J153+J156</f>
        <v>0</v>
      </c>
    </row>
    <row r="153" spans="1:10" ht="16.5" customHeight="1">
      <c r="A153" s="71" t="s">
        <v>286</v>
      </c>
      <c r="B153" s="59" t="s">
        <v>503</v>
      </c>
      <c r="C153" s="99" t="s">
        <v>445</v>
      </c>
      <c r="D153" s="99" t="s">
        <v>383</v>
      </c>
      <c r="E153" s="99" t="s">
        <v>490</v>
      </c>
      <c r="F153" s="99"/>
      <c r="G153" s="99"/>
      <c r="H153" s="191">
        <f>H154</f>
        <v>3772300</v>
      </c>
      <c r="I153" s="191">
        <f>I154</f>
        <v>0</v>
      </c>
      <c r="J153" s="191">
        <f>J154</f>
        <v>0</v>
      </c>
    </row>
    <row r="154" spans="1:10" ht="36.75" customHeight="1">
      <c r="A154" s="71" t="s">
        <v>416</v>
      </c>
      <c r="B154" s="59" t="s">
        <v>503</v>
      </c>
      <c r="C154" s="99" t="s">
        <v>445</v>
      </c>
      <c r="D154" s="99" t="s">
        <v>383</v>
      </c>
      <c r="E154" s="99" t="s">
        <v>569</v>
      </c>
      <c r="F154" s="99"/>
      <c r="G154" s="99"/>
      <c r="H154" s="191">
        <f>H155</f>
        <v>3772300</v>
      </c>
      <c r="I154" s="191">
        <f>I155</f>
        <v>0</v>
      </c>
      <c r="J154" s="191">
        <f>J155</f>
        <v>0</v>
      </c>
    </row>
    <row r="155" spans="1:10" ht="60" customHeight="1">
      <c r="A155" s="71" t="s">
        <v>264</v>
      </c>
      <c r="B155" s="59" t="s">
        <v>503</v>
      </c>
      <c r="C155" s="99" t="s">
        <v>445</v>
      </c>
      <c r="D155" s="99" t="s">
        <v>383</v>
      </c>
      <c r="E155" s="99" t="s">
        <v>569</v>
      </c>
      <c r="F155" s="99" t="s">
        <v>299</v>
      </c>
      <c r="G155" s="99" t="s">
        <v>515</v>
      </c>
      <c r="H155" s="191">
        <f>3265730+438070+68500</f>
        <v>3772300</v>
      </c>
      <c r="I155" s="191">
        <v>0</v>
      </c>
      <c r="J155" s="191">
        <v>0</v>
      </c>
    </row>
    <row r="156" spans="1:10" ht="16.5" customHeight="1">
      <c r="A156" s="71" t="s">
        <v>287</v>
      </c>
      <c r="B156" s="59" t="s">
        <v>503</v>
      </c>
      <c r="C156" s="99" t="s">
        <v>445</v>
      </c>
      <c r="D156" s="99" t="s">
        <v>383</v>
      </c>
      <c r="E156" s="99" t="s">
        <v>570</v>
      </c>
      <c r="F156" s="99"/>
      <c r="G156" s="99"/>
      <c r="H156" s="191">
        <f>H157</f>
        <v>103430</v>
      </c>
      <c r="I156" s="191">
        <f>I157</f>
        <v>0</v>
      </c>
      <c r="J156" s="191">
        <f>J157</f>
        <v>0</v>
      </c>
    </row>
    <row r="157" spans="1:10" ht="30" customHeight="1">
      <c r="A157" s="71" t="s">
        <v>416</v>
      </c>
      <c r="B157" s="59" t="s">
        <v>503</v>
      </c>
      <c r="C157" s="99" t="s">
        <v>445</v>
      </c>
      <c r="D157" s="99" t="s">
        <v>383</v>
      </c>
      <c r="E157" s="99" t="s">
        <v>570</v>
      </c>
      <c r="F157" s="99"/>
      <c r="G157" s="99"/>
      <c r="H157" s="191">
        <f>H158</f>
        <v>103430</v>
      </c>
      <c r="I157" s="191">
        <f>I158</f>
        <v>0</v>
      </c>
      <c r="J157" s="191">
        <f>J158</f>
        <v>0</v>
      </c>
    </row>
    <row r="158" spans="1:10" ht="60" customHeight="1">
      <c r="A158" s="71" t="s">
        <v>264</v>
      </c>
      <c r="B158" s="59" t="s">
        <v>503</v>
      </c>
      <c r="C158" s="99" t="s">
        <v>445</v>
      </c>
      <c r="D158" s="99" t="s">
        <v>383</v>
      </c>
      <c r="E158" s="99" t="s">
        <v>570</v>
      </c>
      <c r="F158" s="99" t="s">
        <v>299</v>
      </c>
      <c r="G158" s="99" t="s">
        <v>515</v>
      </c>
      <c r="H158" s="191">
        <f>103430</f>
        <v>103430</v>
      </c>
      <c r="I158" s="191">
        <v>0</v>
      </c>
      <c r="J158" s="191">
        <v>0</v>
      </c>
    </row>
    <row r="159" spans="1:10" ht="30" customHeight="1">
      <c r="A159" s="71" t="s">
        <v>571</v>
      </c>
      <c r="B159" s="59" t="s">
        <v>503</v>
      </c>
      <c r="C159" s="99" t="s">
        <v>445</v>
      </c>
      <c r="D159" s="99" t="s">
        <v>383</v>
      </c>
      <c r="E159" s="99" t="s">
        <v>572</v>
      </c>
      <c r="F159" s="99"/>
      <c r="G159" s="99"/>
      <c r="H159" s="191">
        <f>H160</f>
        <v>800000</v>
      </c>
      <c r="I159" s="191">
        <f>I160</f>
        <v>0</v>
      </c>
      <c r="J159" s="191">
        <f>J160</f>
        <v>0</v>
      </c>
    </row>
    <row r="160" spans="1:10" ht="30" customHeight="1">
      <c r="A160" s="71" t="s">
        <v>265</v>
      </c>
      <c r="B160" s="59" t="s">
        <v>503</v>
      </c>
      <c r="C160" s="99" t="s">
        <v>445</v>
      </c>
      <c r="D160" s="99" t="s">
        <v>383</v>
      </c>
      <c r="E160" s="99" t="s">
        <v>572</v>
      </c>
      <c r="F160" s="99" t="s">
        <v>330</v>
      </c>
      <c r="G160" s="99" t="s">
        <v>515</v>
      </c>
      <c r="H160" s="191">
        <v>800000</v>
      </c>
      <c r="I160" s="191">
        <v>0</v>
      </c>
      <c r="J160" s="191">
        <v>0</v>
      </c>
    </row>
    <row r="161" spans="1:10" ht="15.75" customHeight="1">
      <c r="A161" s="87" t="s">
        <v>494</v>
      </c>
      <c r="B161" s="59" t="s">
        <v>503</v>
      </c>
      <c r="C161" s="99" t="s">
        <v>445</v>
      </c>
      <c r="D161" s="99" t="s">
        <v>397</v>
      </c>
      <c r="E161" s="99"/>
      <c r="F161" s="99"/>
      <c r="G161" s="99"/>
      <c r="H161" s="191">
        <f>H162</f>
        <v>748500</v>
      </c>
      <c r="I161" s="191">
        <f>I162</f>
        <v>0</v>
      </c>
      <c r="J161" s="191">
        <f>J162</f>
        <v>0</v>
      </c>
    </row>
    <row r="162" spans="1:10" ht="15.75" customHeight="1">
      <c r="A162" s="87" t="s">
        <v>279</v>
      </c>
      <c r="B162" s="59" t="s">
        <v>503</v>
      </c>
      <c r="C162" s="99" t="s">
        <v>445</v>
      </c>
      <c r="D162" s="99" t="s">
        <v>397</v>
      </c>
      <c r="E162" s="99" t="s">
        <v>280</v>
      </c>
      <c r="F162" s="99"/>
      <c r="G162" s="99"/>
      <c r="H162" s="191">
        <f>H163</f>
        <v>748500</v>
      </c>
      <c r="I162" s="191">
        <f>I163</f>
        <v>0</v>
      </c>
      <c r="J162" s="191">
        <f>J163</f>
        <v>0</v>
      </c>
    </row>
    <row r="163" spans="1:10" ht="16.5" customHeight="1">
      <c r="A163" s="71" t="s">
        <v>262</v>
      </c>
      <c r="B163" s="59" t="s">
        <v>503</v>
      </c>
      <c r="C163" s="99" t="s">
        <v>445</v>
      </c>
      <c r="D163" s="99" t="s">
        <v>397</v>
      </c>
      <c r="E163" s="99" t="s">
        <v>281</v>
      </c>
      <c r="F163" s="99"/>
      <c r="G163" s="99"/>
      <c r="H163" s="191">
        <f>H164</f>
        <v>748500</v>
      </c>
      <c r="I163" s="191">
        <f>I164</f>
        <v>0</v>
      </c>
      <c r="J163" s="191">
        <f>J164</f>
        <v>0</v>
      </c>
    </row>
    <row r="164" spans="1:10" ht="16.5" customHeight="1">
      <c r="A164" s="71" t="s">
        <v>573</v>
      </c>
      <c r="B164" s="59" t="s">
        <v>503</v>
      </c>
      <c r="C164" s="99" t="s">
        <v>445</v>
      </c>
      <c r="D164" s="99" t="s">
        <v>397</v>
      </c>
      <c r="E164" s="99" t="s">
        <v>574</v>
      </c>
      <c r="F164" s="99"/>
      <c r="G164" s="99"/>
      <c r="H164" s="191">
        <f>H165</f>
        <v>748500</v>
      </c>
      <c r="I164" s="191">
        <f>I165</f>
        <v>0</v>
      </c>
      <c r="J164" s="191">
        <f>J165</f>
        <v>0</v>
      </c>
    </row>
    <row r="165" spans="1:10" ht="60" customHeight="1">
      <c r="A165" s="71" t="s">
        <v>264</v>
      </c>
      <c r="B165" s="59" t="s">
        <v>503</v>
      </c>
      <c r="C165" s="99" t="s">
        <v>445</v>
      </c>
      <c r="D165" s="99" t="s">
        <v>397</v>
      </c>
      <c r="E165" s="99" t="s">
        <v>574</v>
      </c>
      <c r="F165" s="99" t="s">
        <v>299</v>
      </c>
      <c r="G165" s="99" t="s">
        <v>515</v>
      </c>
      <c r="H165" s="191">
        <v>748500</v>
      </c>
      <c r="I165" s="191">
        <v>0</v>
      </c>
      <c r="J165" s="191">
        <v>0</v>
      </c>
    </row>
    <row r="166" spans="1:10" ht="15.75" customHeight="1">
      <c r="A166" s="194" t="s">
        <v>449</v>
      </c>
      <c r="B166" s="85" t="s">
        <v>503</v>
      </c>
      <c r="C166" s="187" t="s">
        <v>422</v>
      </c>
      <c r="D166" s="99"/>
      <c r="E166" s="99"/>
      <c r="F166" s="99"/>
      <c r="G166" s="99"/>
      <c r="H166" s="88">
        <f>H167+H172+H200</f>
        <v>111522956.23</v>
      </c>
      <c r="I166" s="88">
        <f>I167+I172+I200</f>
        <v>93196820.9</v>
      </c>
      <c r="J166" s="88">
        <f>J167+J172+J200</f>
        <v>43888220.9</v>
      </c>
    </row>
    <row r="167" spans="1:10" ht="15.75" customHeight="1">
      <c r="A167" s="186" t="s">
        <v>450</v>
      </c>
      <c r="B167" s="85" t="s">
        <v>503</v>
      </c>
      <c r="C167" s="91" t="s">
        <v>422</v>
      </c>
      <c r="D167" s="91" t="s">
        <v>383</v>
      </c>
      <c r="E167" s="91"/>
      <c r="F167" s="190"/>
      <c r="G167" s="190"/>
      <c r="H167" s="88">
        <f>H168</f>
        <v>2651843.28</v>
      </c>
      <c r="I167" s="88">
        <f>I168</f>
        <v>0</v>
      </c>
      <c r="J167" s="88">
        <f>J168</f>
        <v>0</v>
      </c>
    </row>
    <row r="168" spans="1:10" ht="15.75" customHeight="1">
      <c r="A168" s="186" t="s">
        <v>386</v>
      </c>
      <c r="B168" s="85" t="s">
        <v>503</v>
      </c>
      <c r="C168" s="91" t="s">
        <v>422</v>
      </c>
      <c r="D168" s="91" t="s">
        <v>383</v>
      </c>
      <c r="E168" s="91" t="s">
        <v>387</v>
      </c>
      <c r="F168" s="190"/>
      <c r="G168" s="190"/>
      <c r="H168" s="88">
        <f>H169</f>
        <v>2651843.28</v>
      </c>
      <c r="I168" s="88">
        <f>I169</f>
        <v>0</v>
      </c>
      <c r="J168" s="88">
        <f>J169</f>
        <v>0</v>
      </c>
    </row>
    <row r="169" spans="1:10" ht="15.75" customHeight="1">
      <c r="A169" s="71" t="s">
        <v>406</v>
      </c>
      <c r="B169" s="59" t="s">
        <v>503</v>
      </c>
      <c r="C169" s="92" t="s">
        <v>422</v>
      </c>
      <c r="D169" s="92" t="s">
        <v>383</v>
      </c>
      <c r="E169" s="92" t="s">
        <v>407</v>
      </c>
      <c r="F169" s="196"/>
      <c r="G169" s="196"/>
      <c r="H169" s="191">
        <f>H170</f>
        <v>2651843.28</v>
      </c>
      <c r="I169" s="191">
        <f>I170</f>
        <v>0</v>
      </c>
      <c r="J169" s="191">
        <f>J170</f>
        <v>0</v>
      </c>
    </row>
    <row r="170" spans="1:10" ht="16.5" customHeight="1">
      <c r="A170" s="71" t="s">
        <v>453</v>
      </c>
      <c r="B170" s="59" t="s">
        <v>503</v>
      </c>
      <c r="C170" s="92" t="s">
        <v>422</v>
      </c>
      <c r="D170" s="92" t="s">
        <v>383</v>
      </c>
      <c r="E170" s="93">
        <v>9950071020</v>
      </c>
      <c r="F170" s="92"/>
      <c r="G170" s="92"/>
      <c r="H170" s="191">
        <f>H171</f>
        <v>2651843.28</v>
      </c>
      <c r="I170" s="191">
        <f>I171</f>
        <v>0</v>
      </c>
      <c r="J170" s="191">
        <f>J171</f>
        <v>0</v>
      </c>
    </row>
    <row r="171" spans="1:10" ht="16.5" customHeight="1">
      <c r="A171" s="177" t="s">
        <v>266</v>
      </c>
      <c r="B171" s="59" t="s">
        <v>503</v>
      </c>
      <c r="C171" s="92" t="s">
        <v>422</v>
      </c>
      <c r="D171" s="92" t="s">
        <v>383</v>
      </c>
      <c r="E171" s="93">
        <v>9950071020</v>
      </c>
      <c r="F171" s="92" t="s">
        <v>335</v>
      </c>
      <c r="G171" s="99" t="s">
        <v>513</v>
      </c>
      <c r="H171" s="191">
        <v>2651843.28</v>
      </c>
      <c r="I171" s="191">
        <v>0</v>
      </c>
      <c r="J171" s="29">
        <v>0</v>
      </c>
    </row>
    <row r="172" spans="1:10" ht="15.75" customHeight="1">
      <c r="A172" s="186" t="s">
        <v>455</v>
      </c>
      <c r="B172" s="85" t="s">
        <v>503</v>
      </c>
      <c r="C172" s="187" t="s">
        <v>422</v>
      </c>
      <c r="D172" s="187" t="s">
        <v>397</v>
      </c>
      <c r="E172" s="187"/>
      <c r="F172" s="187"/>
      <c r="G172" s="187"/>
      <c r="H172" s="88">
        <f>H173+H182+H178</f>
        <v>102738230.05</v>
      </c>
      <c r="I172" s="88">
        <f>I173+I182+I178</f>
        <v>87421600</v>
      </c>
      <c r="J172" s="88">
        <f>J173+J182+J178</f>
        <v>38113000</v>
      </c>
    </row>
    <row r="173" spans="1:10" ht="15.75" customHeight="1">
      <c r="A173" s="87" t="s">
        <v>260</v>
      </c>
      <c r="B173" s="85" t="s">
        <v>503</v>
      </c>
      <c r="C173" s="187" t="s">
        <v>422</v>
      </c>
      <c r="D173" s="187" t="s">
        <v>397</v>
      </c>
      <c r="E173" s="187" t="s">
        <v>261</v>
      </c>
      <c r="F173" s="187"/>
      <c r="G173" s="187"/>
      <c r="H173" s="88">
        <f>H174</f>
        <v>5265000</v>
      </c>
      <c r="I173" s="88">
        <f>I174</f>
        <v>5765000</v>
      </c>
      <c r="J173" s="88">
        <f>J174</f>
        <v>5765000</v>
      </c>
    </row>
    <row r="174" spans="1:10" ht="31.5" customHeight="1">
      <c r="A174" s="22" t="s">
        <v>268</v>
      </c>
      <c r="B174" s="85" t="s">
        <v>503</v>
      </c>
      <c r="C174" s="187" t="s">
        <v>422</v>
      </c>
      <c r="D174" s="187" t="s">
        <v>397</v>
      </c>
      <c r="E174" s="187" t="s">
        <v>269</v>
      </c>
      <c r="F174" s="187"/>
      <c r="G174" s="187"/>
      <c r="H174" s="88">
        <f>H175</f>
        <v>5265000</v>
      </c>
      <c r="I174" s="88">
        <f>I175</f>
        <v>5765000</v>
      </c>
      <c r="J174" s="88">
        <f>J175</f>
        <v>5765000</v>
      </c>
    </row>
    <row r="175" spans="1:10" ht="60" customHeight="1">
      <c r="A175" s="197" t="s">
        <v>575</v>
      </c>
      <c r="B175" s="59" t="s">
        <v>503</v>
      </c>
      <c r="C175" s="99" t="s">
        <v>422</v>
      </c>
      <c r="D175" s="99" t="s">
        <v>397</v>
      </c>
      <c r="E175" s="99" t="s">
        <v>576</v>
      </c>
      <c r="F175" s="99"/>
      <c r="G175" s="99"/>
      <c r="H175" s="191">
        <f>SUM(H176:H177)</f>
        <v>5265000</v>
      </c>
      <c r="I175" s="191">
        <f>SUM(I176:I177)</f>
        <v>5765000</v>
      </c>
      <c r="J175" s="191">
        <f>SUM(J176:J177)</f>
        <v>5765000</v>
      </c>
    </row>
    <row r="176" spans="1:10" ht="30" customHeight="1">
      <c r="A176" s="71" t="s">
        <v>265</v>
      </c>
      <c r="B176" s="59" t="s">
        <v>503</v>
      </c>
      <c r="C176" s="99" t="s">
        <v>422</v>
      </c>
      <c r="D176" s="99" t="s">
        <v>397</v>
      </c>
      <c r="E176" s="99" t="s">
        <v>576</v>
      </c>
      <c r="F176" s="99" t="s">
        <v>330</v>
      </c>
      <c r="G176" s="99" t="s">
        <v>515</v>
      </c>
      <c r="H176" s="191">
        <v>200000</v>
      </c>
      <c r="I176" s="191">
        <v>200000</v>
      </c>
      <c r="J176" s="191">
        <v>200000</v>
      </c>
    </row>
    <row r="177" spans="1:10" ht="16.5" customHeight="1">
      <c r="A177" s="177" t="s">
        <v>266</v>
      </c>
      <c r="B177" s="59" t="s">
        <v>503</v>
      </c>
      <c r="C177" s="99" t="s">
        <v>422</v>
      </c>
      <c r="D177" s="99" t="s">
        <v>397</v>
      </c>
      <c r="E177" s="99" t="s">
        <v>576</v>
      </c>
      <c r="F177" s="99" t="s">
        <v>335</v>
      </c>
      <c r="G177" s="99" t="s">
        <v>515</v>
      </c>
      <c r="H177" s="191">
        <f>5565000-500000</f>
        <v>5065000</v>
      </c>
      <c r="I177" s="191">
        <v>5565000</v>
      </c>
      <c r="J177" s="191">
        <v>5565000</v>
      </c>
    </row>
    <row r="178" spans="1:10" ht="47.25" customHeight="1">
      <c r="A178" s="192" t="s">
        <v>338</v>
      </c>
      <c r="B178" s="85" t="s">
        <v>503</v>
      </c>
      <c r="C178" s="187" t="s">
        <v>422</v>
      </c>
      <c r="D178" s="187" t="s">
        <v>397</v>
      </c>
      <c r="E178" s="187" t="s">
        <v>339</v>
      </c>
      <c r="F178" s="187"/>
      <c r="G178" s="187"/>
      <c r="H178" s="88">
        <f>H179</f>
        <v>18679752.05</v>
      </c>
      <c r="I178" s="88">
        <f>I179</f>
        <v>0</v>
      </c>
      <c r="J178" s="88">
        <f>J179</f>
        <v>0</v>
      </c>
    </row>
    <row r="179" spans="1:10" ht="31.5" customHeight="1">
      <c r="A179" s="192" t="s">
        <v>342</v>
      </c>
      <c r="B179" s="85" t="s">
        <v>503</v>
      </c>
      <c r="C179" s="187" t="s">
        <v>422</v>
      </c>
      <c r="D179" s="187" t="s">
        <v>397</v>
      </c>
      <c r="E179" s="187" t="s">
        <v>343</v>
      </c>
      <c r="F179" s="187"/>
      <c r="G179" s="187"/>
      <c r="H179" s="88">
        <f>H180</f>
        <v>18679752.05</v>
      </c>
      <c r="I179" s="88">
        <f>I180</f>
        <v>0</v>
      </c>
      <c r="J179" s="88">
        <f>J180</f>
        <v>0</v>
      </c>
    </row>
    <row r="180" spans="1:10" ht="30" customHeight="1">
      <c r="A180" s="177" t="s">
        <v>577</v>
      </c>
      <c r="B180" s="59" t="s">
        <v>503</v>
      </c>
      <c r="C180" s="99" t="s">
        <v>422</v>
      </c>
      <c r="D180" s="99" t="s">
        <v>397</v>
      </c>
      <c r="E180" s="99" t="s">
        <v>578</v>
      </c>
      <c r="F180" s="99"/>
      <c r="G180" s="99"/>
      <c r="H180" s="191">
        <f>H181</f>
        <v>18679752.05</v>
      </c>
      <c r="I180" s="191">
        <f>I181</f>
        <v>0</v>
      </c>
      <c r="J180" s="191">
        <f>J181</f>
        <v>0</v>
      </c>
    </row>
    <row r="181" spans="1:10" ht="16.5" customHeight="1">
      <c r="A181" s="177" t="s">
        <v>266</v>
      </c>
      <c r="B181" s="59" t="s">
        <v>503</v>
      </c>
      <c r="C181" s="99" t="s">
        <v>422</v>
      </c>
      <c r="D181" s="99" t="s">
        <v>397</v>
      </c>
      <c r="E181" s="99" t="s">
        <v>578</v>
      </c>
      <c r="F181" s="99" t="s">
        <v>335</v>
      </c>
      <c r="G181" s="99" t="s">
        <v>515</v>
      </c>
      <c r="H181" s="191">
        <v>18679752.05</v>
      </c>
      <c r="I181" s="191">
        <v>0</v>
      </c>
      <c r="J181" s="191">
        <v>0</v>
      </c>
    </row>
    <row r="182" spans="1:10" ht="15.75" customHeight="1">
      <c r="A182" s="186" t="s">
        <v>386</v>
      </c>
      <c r="B182" s="85" t="s">
        <v>503</v>
      </c>
      <c r="C182" s="187" t="s">
        <v>422</v>
      </c>
      <c r="D182" s="187" t="s">
        <v>397</v>
      </c>
      <c r="E182" s="91" t="s">
        <v>387</v>
      </c>
      <c r="F182" s="187"/>
      <c r="G182" s="187"/>
      <c r="H182" s="88">
        <f>H183</f>
        <v>78793478</v>
      </c>
      <c r="I182" s="88">
        <f>I183</f>
        <v>81656600</v>
      </c>
      <c r="J182" s="88">
        <f>J183</f>
        <v>32348000</v>
      </c>
    </row>
    <row r="183" spans="1:10" ht="15.75" customHeight="1">
      <c r="A183" s="87" t="s">
        <v>406</v>
      </c>
      <c r="B183" s="85" t="s">
        <v>503</v>
      </c>
      <c r="C183" s="187" t="s">
        <v>422</v>
      </c>
      <c r="D183" s="187" t="s">
        <v>397</v>
      </c>
      <c r="E183" s="91" t="s">
        <v>407</v>
      </c>
      <c r="F183" s="187"/>
      <c r="G183" s="187"/>
      <c r="H183" s="88">
        <f>H184+H186+H188+H190+H192+H194+H196+H198</f>
        <v>78793478</v>
      </c>
      <c r="I183" s="88">
        <f>I184+I186+I188+I190+I192+I194+I196</f>
        <v>81656600</v>
      </c>
      <c r="J183" s="88">
        <f>J184+J186+J188+J190+J192+J194+J196</f>
        <v>32348000</v>
      </c>
    </row>
    <row r="184" spans="1:10" ht="45" customHeight="1">
      <c r="A184" s="71" t="s">
        <v>579</v>
      </c>
      <c r="B184" s="59" t="s">
        <v>503</v>
      </c>
      <c r="C184" s="99" t="s">
        <v>422</v>
      </c>
      <c r="D184" s="99" t="s">
        <v>397</v>
      </c>
      <c r="E184" s="92" t="s">
        <v>580</v>
      </c>
      <c r="F184" s="187"/>
      <c r="G184" s="187"/>
      <c r="H184" s="191">
        <f>H185</f>
        <v>653500</v>
      </c>
      <c r="I184" s="191">
        <f>I185</f>
        <v>679600</v>
      </c>
      <c r="J184" s="191">
        <f>J185</f>
        <v>706800</v>
      </c>
    </row>
    <row r="185" spans="1:10" ht="16.5" customHeight="1">
      <c r="A185" s="177" t="s">
        <v>266</v>
      </c>
      <c r="B185" s="59" t="s">
        <v>503</v>
      </c>
      <c r="C185" s="99" t="s">
        <v>422</v>
      </c>
      <c r="D185" s="99" t="s">
        <v>397</v>
      </c>
      <c r="E185" s="92" t="s">
        <v>580</v>
      </c>
      <c r="F185" s="99" t="s">
        <v>335</v>
      </c>
      <c r="G185" s="99" t="s">
        <v>515</v>
      </c>
      <c r="H185" s="191">
        <v>653500</v>
      </c>
      <c r="I185" s="198">
        <v>679600</v>
      </c>
      <c r="J185" s="198">
        <v>706800</v>
      </c>
    </row>
    <row r="186" spans="1:10" ht="60" customHeight="1">
      <c r="A186" s="177" t="s">
        <v>581</v>
      </c>
      <c r="B186" s="59" t="s">
        <v>503</v>
      </c>
      <c r="C186" s="99" t="s">
        <v>422</v>
      </c>
      <c r="D186" s="99" t="s">
        <v>397</v>
      </c>
      <c r="E186" s="99" t="s">
        <v>582</v>
      </c>
      <c r="F186" s="99"/>
      <c r="G186" s="99"/>
      <c r="H186" s="191">
        <f>H187</f>
        <v>6344613</v>
      </c>
      <c r="I186" s="191">
        <f>I187</f>
        <v>49201500</v>
      </c>
      <c r="J186" s="191">
        <f>J187</f>
        <v>0</v>
      </c>
    </row>
    <row r="187" spans="1:10" ht="30" customHeight="1">
      <c r="A187" s="71" t="s">
        <v>350</v>
      </c>
      <c r="B187" s="59" t="s">
        <v>503</v>
      </c>
      <c r="C187" s="99" t="s">
        <v>422</v>
      </c>
      <c r="D187" s="99" t="s">
        <v>397</v>
      </c>
      <c r="E187" s="99" t="s">
        <v>582</v>
      </c>
      <c r="F187" s="99" t="s">
        <v>344</v>
      </c>
      <c r="G187" s="99" t="s">
        <v>515</v>
      </c>
      <c r="H187" s="191">
        <f>31675183.65-25330570.65</f>
        <v>6344613</v>
      </c>
      <c r="I187" s="191">
        <v>49201500</v>
      </c>
      <c r="J187" s="191"/>
    </row>
    <row r="188" spans="1:10" ht="60" customHeight="1">
      <c r="A188" s="177" t="s">
        <v>583</v>
      </c>
      <c r="B188" s="59" t="s">
        <v>503</v>
      </c>
      <c r="C188" s="99" t="s">
        <v>422</v>
      </c>
      <c r="D188" s="99" t="s">
        <v>397</v>
      </c>
      <c r="E188" s="99" t="s">
        <v>584</v>
      </c>
      <c r="F188" s="99"/>
      <c r="G188" s="99"/>
      <c r="H188" s="191">
        <f>H189</f>
        <v>34736460</v>
      </c>
      <c r="I188" s="191">
        <f>I189</f>
        <v>26439660</v>
      </c>
      <c r="J188" s="191">
        <f>J189</f>
        <v>26305360</v>
      </c>
    </row>
    <row r="189" spans="1:10" ht="16.5" customHeight="1">
      <c r="A189" s="177" t="s">
        <v>266</v>
      </c>
      <c r="B189" s="59" t="s">
        <v>503</v>
      </c>
      <c r="C189" s="99" t="s">
        <v>422</v>
      </c>
      <c r="D189" s="99" t="s">
        <v>397</v>
      </c>
      <c r="E189" s="99" t="s">
        <v>584</v>
      </c>
      <c r="F189" s="99" t="s">
        <v>335</v>
      </c>
      <c r="G189" s="99" t="s">
        <v>515</v>
      </c>
      <c r="H189" s="191">
        <f>26631260+8105200</f>
        <v>34736460</v>
      </c>
      <c r="I189" s="198">
        <v>26439660</v>
      </c>
      <c r="J189" s="199">
        <v>26305360</v>
      </c>
    </row>
    <row r="190" spans="1:10" ht="45" customHeight="1">
      <c r="A190" s="177" t="s">
        <v>585</v>
      </c>
      <c r="B190" s="59" t="s">
        <v>503</v>
      </c>
      <c r="C190" s="99" t="s">
        <v>422</v>
      </c>
      <c r="D190" s="99" t="s">
        <v>397</v>
      </c>
      <c r="E190" s="99" t="s">
        <v>586</v>
      </c>
      <c r="F190" s="99"/>
      <c r="G190" s="99"/>
      <c r="H190" s="191">
        <f>H191</f>
        <v>3460300</v>
      </c>
      <c r="I190" s="191">
        <f>I191</f>
        <v>3460300</v>
      </c>
      <c r="J190" s="191">
        <f>J191</f>
        <v>3460300</v>
      </c>
    </row>
    <row r="191" spans="1:10" ht="16.5" customHeight="1">
      <c r="A191" s="177" t="s">
        <v>266</v>
      </c>
      <c r="B191" s="59" t="s">
        <v>503</v>
      </c>
      <c r="C191" s="99" t="s">
        <v>422</v>
      </c>
      <c r="D191" s="99" t="s">
        <v>397</v>
      </c>
      <c r="E191" s="99" t="s">
        <v>586</v>
      </c>
      <c r="F191" s="99" t="s">
        <v>335</v>
      </c>
      <c r="G191" s="99" t="s">
        <v>515</v>
      </c>
      <c r="H191" s="191">
        <v>3460300</v>
      </c>
      <c r="I191" s="191">
        <v>3460300</v>
      </c>
      <c r="J191" s="191">
        <v>3460300</v>
      </c>
    </row>
    <row r="192" spans="1:10" ht="60" customHeight="1">
      <c r="A192" s="177" t="s">
        <v>587</v>
      </c>
      <c r="B192" s="59" t="s">
        <v>503</v>
      </c>
      <c r="C192" s="99" t="s">
        <v>422</v>
      </c>
      <c r="D192" s="99" t="s">
        <v>397</v>
      </c>
      <c r="E192" s="99" t="s">
        <v>588</v>
      </c>
      <c r="F192" s="99"/>
      <c r="G192" s="99"/>
      <c r="H192" s="191">
        <f>H193</f>
        <v>444540</v>
      </c>
      <c r="I192" s="198">
        <f>I193</f>
        <v>444540</v>
      </c>
      <c r="J192" s="198">
        <f>J193</f>
        <v>444540</v>
      </c>
    </row>
    <row r="193" spans="1:10" ht="16.5" customHeight="1">
      <c r="A193" s="177" t="s">
        <v>266</v>
      </c>
      <c r="B193" s="59" t="s">
        <v>503</v>
      </c>
      <c r="C193" s="99" t="s">
        <v>422</v>
      </c>
      <c r="D193" s="99" t="s">
        <v>397</v>
      </c>
      <c r="E193" s="99" t="s">
        <v>588</v>
      </c>
      <c r="F193" s="99" t="s">
        <v>335</v>
      </c>
      <c r="G193" s="99" t="s">
        <v>515</v>
      </c>
      <c r="H193" s="191">
        <v>444540</v>
      </c>
      <c r="I193" s="191">
        <v>444540</v>
      </c>
      <c r="J193" s="191">
        <v>444540</v>
      </c>
    </row>
    <row r="194" spans="1:10" ht="60" customHeight="1">
      <c r="A194" s="177" t="s">
        <v>589</v>
      </c>
      <c r="B194" s="59" t="s">
        <v>503</v>
      </c>
      <c r="C194" s="99" t="s">
        <v>422</v>
      </c>
      <c r="D194" s="99" t="s">
        <v>397</v>
      </c>
      <c r="E194" s="99" t="s">
        <v>590</v>
      </c>
      <c r="F194" s="99"/>
      <c r="G194" s="99"/>
      <c r="H194" s="191">
        <f>H195</f>
        <v>662400</v>
      </c>
      <c r="I194" s="191">
        <f>I195</f>
        <v>663000</v>
      </c>
      <c r="J194" s="191">
        <f>J195</f>
        <v>663000</v>
      </c>
    </row>
    <row r="195" spans="1:10" ht="16.5" customHeight="1">
      <c r="A195" s="177" t="s">
        <v>266</v>
      </c>
      <c r="B195" s="59" t="s">
        <v>503</v>
      </c>
      <c r="C195" s="99" t="s">
        <v>422</v>
      </c>
      <c r="D195" s="99" t="s">
        <v>397</v>
      </c>
      <c r="E195" s="99" t="s">
        <v>590</v>
      </c>
      <c r="F195" s="99" t="s">
        <v>335</v>
      </c>
      <c r="G195" s="99" t="s">
        <v>515</v>
      </c>
      <c r="H195" s="191">
        <f>663000-600</f>
        <v>662400</v>
      </c>
      <c r="I195" s="191">
        <v>663000</v>
      </c>
      <c r="J195" s="29">
        <v>663000</v>
      </c>
    </row>
    <row r="196" spans="1:10" ht="45" customHeight="1">
      <c r="A196" s="177" t="s">
        <v>591</v>
      </c>
      <c r="B196" s="59" t="s">
        <v>503</v>
      </c>
      <c r="C196" s="99" t="s">
        <v>422</v>
      </c>
      <c r="D196" s="99" t="s">
        <v>397</v>
      </c>
      <c r="E196" s="99" t="s">
        <v>592</v>
      </c>
      <c r="F196" s="99"/>
      <c r="G196" s="99"/>
      <c r="H196" s="191">
        <f>H197</f>
        <v>768600</v>
      </c>
      <c r="I196" s="191">
        <f>I197</f>
        <v>768000</v>
      </c>
      <c r="J196" s="191">
        <f>J197</f>
        <v>768000</v>
      </c>
    </row>
    <row r="197" spans="1:10" ht="16.5" customHeight="1">
      <c r="A197" s="177" t="s">
        <v>266</v>
      </c>
      <c r="B197" s="59" t="s">
        <v>503</v>
      </c>
      <c r="C197" s="99" t="s">
        <v>422</v>
      </c>
      <c r="D197" s="99" t="s">
        <v>397</v>
      </c>
      <c r="E197" s="99" t="s">
        <v>592</v>
      </c>
      <c r="F197" s="99" t="s">
        <v>335</v>
      </c>
      <c r="G197" s="99" t="s">
        <v>515</v>
      </c>
      <c r="H197" s="191">
        <f>768000+600</f>
        <v>768600</v>
      </c>
      <c r="I197" s="191">
        <v>768000</v>
      </c>
      <c r="J197" s="191">
        <v>768000</v>
      </c>
    </row>
    <row r="198" spans="1:10" ht="45" customHeight="1">
      <c r="A198" s="177" t="s">
        <v>593</v>
      </c>
      <c r="B198" s="59" t="s">
        <v>503</v>
      </c>
      <c r="C198" s="99" t="s">
        <v>422</v>
      </c>
      <c r="D198" s="99" t="s">
        <v>397</v>
      </c>
      <c r="E198" s="99" t="s">
        <v>594</v>
      </c>
      <c r="F198" s="99"/>
      <c r="G198" s="99"/>
      <c r="H198" s="191">
        <f>H199</f>
        <v>31723065</v>
      </c>
      <c r="I198" s="191">
        <f>I199</f>
        <v>0</v>
      </c>
      <c r="J198" s="191">
        <f>J199</f>
        <v>0</v>
      </c>
    </row>
    <row r="199" spans="1:10" ht="30" customHeight="1">
      <c r="A199" s="71" t="s">
        <v>350</v>
      </c>
      <c r="B199" s="59" t="s">
        <v>503</v>
      </c>
      <c r="C199" s="99" t="s">
        <v>422</v>
      </c>
      <c r="D199" s="99" t="s">
        <v>397</v>
      </c>
      <c r="E199" s="99" t="s">
        <v>594</v>
      </c>
      <c r="F199" s="99" t="s">
        <v>344</v>
      </c>
      <c r="G199" s="99" t="s">
        <v>515</v>
      </c>
      <c r="H199" s="191">
        <v>31723065</v>
      </c>
      <c r="I199" s="191">
        <v>0</v>
      </c>
      <c r="J199" s="191">
        <v>0</v>
      </c>
    </row>
    <row r="200" spans="1:10" ht="15.75" customHeight="1">
      <c r="A200" s="186" t="s">
        <v>456</v>
      </c>
      <c r="B200" s="85" t="s">
        <v>503</v>
      </c>
      <c r="C200" s="187" t="s">
        <v>422</v>
      </c>
      <c r="D200" s="187" t="s">
        <v>401</v>
      </c>
      <c r="E200" s="187"/>
      <c r="F200" s="187"/>
      <c r="G200" s="187"/>
      <c r="H200" s="88">
        <f>H201</f>
        <v>6132882.9</v>
      </c>
      <c r="I200" s="88">
        <f>I201</f>
        <v>5775220.9</v>
      </c>
      <c r="J200" s="88">
        <f>J201</f>
        <v>5775220.9</v>
      </c>
    </row>
    <row r="201" spans="1:10" ht="15.75" customHeight="1">
      <c r="A201" s="87" t="s">
        <v>386</v>
      </c>
      <c r="B201" s="85" t="s">
        <v>503</v>
      </c>
      <c r="C201" s="187" t="s">
        <v>422</v>
      </c>
      <c r="D201" s="187" t="s">
        <v>401</v>
      </c>
      <c r="E201" s="187" t="s">
        <v>387</v>
      </c>
      <c r="F201" s="187"/>
      <c r="G201" s="187"/>
      <c r="H201" s="88">
        <f>H202</f>
        <v>6132882.9</v>
      </c>
      <c r="I201" s="88">
        <f>I202</f>
        <v>5775220.9</v>
      </c>
      <c r="J201" s="88">
        <f>J202</f>
        <v>5775220.9</v>
      </c>
    </row>
    <row r="202" spans="1:10" ht="15.75" customHeight="1">
      <c r="A202" s="87" t="s">
        <v>406</v>
      </c>
      <c r="B202" s="85" t="s">
        <v>503</v>
      </c>
      <c r="C202" s="187" t="s">
        <v>422</v>
      </c>
      <c r="D202" s="187" t="s">
        <v>401</v>
      </c>
      <c r="E202" s="91" t="s">
        <v>407</v>
      </c>
      <c r="F202" s="187"/>
      <c r="G202" s="187"/>
      <c r="H202" s="88">
        <f>H203+H206+H209+H212</f>
        <v>6132882.9</v>
      </c>
      <c r="I202" s="88">
        <f>I203+I206+I209+I212</f>
        <v>5775220.9</v>
      </c>
      <c r="J202" s="88">
        <f>J203+J206+J209+J212</f>
        <v>5775220.9</v>
      </c>
    </row>
    <row r="203" spans="1:10" ht="45" customHeight="1">
      <c r="A203" s="177" t="s">
        <v>595</v>
      </c>
      <c r="B203" s="59" t="s">
        <v>503</v>
      </c>
      <c r="C203" s="99" t="s">
        <v>422</v>
      </c>
      <c r="D203" s="99" t="s">
        <v>401</v>
      </c>
      <c r="E203" s="99" t="s">
        <v>596</v>
      </c>
      <c r="F203" s="99"/>
      <c r="G203" s="99"/>
      <c r="H203" s="191">
        <f>SUM(H204:H205)</f>
        <v>198008.1</v>
      </c>
      <c r="I203" s="191">
        <f>SUM(I204:I205)</f>
        <v>198000</v>
      </c>
      <c r="J203" s="191">
        <f>SUM(J204:J205)</f>
        <v>198000</v>
      </c>
    </row>
    <row r="204" spans="1:10" ht="60" customHeight="1">
      <c r="A204" s="71" t="s">
        <v>264</v>
      </c>
      <c r="B204" s="59" t="s">
        <v>503</v>
      </c>
      <c r="C204" s="99" t="s">
        <v>422</v>
      </c>
      <c r="D204" s="99" t="s">
        <v>401</v>
      </c>
      <c r="E204" s="99" t="s">
        <v>596</v>
      </c>
      <c r="F204" s="99" t="s">
        <v>299</v>
      </c>
      <c r="G204" s="99" t="s">
        <v>515</v>
      </c>
      <c r="H204" s="191">
        <v>191048.1</v>
      </c>
      <c r="I204" s="191">
        <v>191040</v>
      </c>
      <c r="J204" s="191">
        <v>191040</v>
      </c>
    </row>
    <row r="205" spans="1:10" ht="30" customHeight="1">
      <c r="A205" s="71" t="s">
        <v>265</v>
      </c>
      <c r="B205" s="59" t="s">
        <v>503</v>
      </c>
      <c r="C205" s="99" t="s">
        <v>422</v>
      </c>
      <c r="D205" s="99" t="s">
        <v>401</v>
      </c>
      <c r="E205" s="99" t="s">
        <v>596</v>
      </c>
      <c r="F205" s="99" t="s">
        <v>330</v>
      </c>
      <c r="G205" s="99" t="s">
        <v>515</v>
      </c>
      <c r="H205" s="191">
        <v>6960</v>
      </c>
      <c r="I205" s="191">
        <v>6960</v>
      </c>
      <c r="J205" s="191">
        <v>6960</v>
      </c>
    </row>
    <row r="206" spans="1:10" ht="30" customHeight="1">
      <c r="A206" s="71" t="s">
        <v>597</v>
      </c>
      <c r="B206" s="59" t="s">
        <v>503</v>
      </c>
      <c r="C206" s="99" t="s">
        <v>422</v>
      </c>
      <c r="D206" s="99" t="s">
        <v>401</v>
      </c>
      <c r="E206" s="99" t="s">
        <v>598</v>
      </c>
      <c r="F206" s="99"/>
      <c r="G206" s="99"/>
      <c r="H206" s="191">
        <f>SUM(H207:H208)</f>
        <v>4029811.33</v>
      </c>
      <c r="I206" s="191">
        <f>SUM(I207:I208)</f>
        <v>3743800</v>
      </c>
      <c r="J206" s="191">
        <f>SUM(J207:J208)</f>
        <v>3743800</v>
      </c>
    </row>
    <row r="207" spans="1:10" ht="60" customHeight="1">
      <c r="A207" s="71" t="s">
        <v>264</v>
      </c>
      <c r="B207" s="59" t="s">
        <v>503</v>
      </c>
      <c r="C207" s="99" t="s">
        <v>422</v>
      </c>
      <c r="D207" s="99" t="s">
        <v>401</v>
      </c>
      <c r="E207" s="99" t="s">
        <v>598</v>
      </c>
      <c r="F207" s="99" t="s">
        <v>299</v>
      </c>
      <c r="G207" s="99" t="s">
        <v>515</v>
      </c>
      <c r="H207" s="191">
        <f>3634824.28+286023.05-29700+29700</f>
        <v>3920847.33</v>
      </c>
      <c r="I207" s="191">
        <v>3634836</v>
      </c>
      <c r="J207" s="191">
        <v>3634836</v>
      </c>
    </row>
    <row r="208" spans="1:10" ht="30" customHeight="1">
      <c r="A208" s="71" t="s">
        <v>265</v>
      </c>
      <c r="B208" s="59" t="s">
        <v>503</v>
      </c>
      <c r="C208" s="99" t="s">
        <v>422</v>
      </c>
      <c r="D208" s="99" t="s">
        <v>401</v>
      </c>
      <c r="E208" s="99" t="s">
        <v>598</v>
      </c>
      <c r="F208" s="99" t="s">
        <v>330</v>
      </c>
      <c r="G208" s="99" t="s">
        <v>515</v>
      </c>
      <c r="H208" s="191">
        <f>108964+29700-29700</f>
        <v>108964</v>
      </c>
      <c r="I208" s="191">
        <v>108964</v>
      </c>
      <c r="J208" s="191">
        <v>108964</v>
      </c>
    </row>
    <row r="209" spans="1:10" ht="30" customHeight="1">
      <c r="A209" s="71" t="s">
        <v>599</v>
      </c>
      <c r="B209" s="59" t="s">
        <v>503</v>
      </c>
      <c r="C209" s="99" t="s">
        <v>422</v>
      </c>
      <c r="D209" s="99" t="s">
        <v>401</v>
      </c>
      <c r="E209" s="99" t="s">
        <v>600</v>
      </c>
      <c r="F209" s="99"/>
      <c r="G209" s="99"/>
      <c r="H209" s="191">
        <f>SUM(H210:H211)</f>
        <v>975042.57</v>
      </c>
      <c r="I209" s="191">
        <f>SUM(I210:I211)</f>
        <v>903400</v>
      </c>
      <c r="J209" s="191">
        <f>SUM(J210:J211)</f>
        <v>903400</v>
      </c>
    </row>
    <row r="210" spans="1:10" ht="60" customHeight="1">
      <c r="A210" s="71" t="s">
        <v>264</v>
      </c>
      <c r="B210" s="59" t="s">
        <v>503</v>
      </c>
      <c r="C210" s="99" t="s">
        <v>422</v>
      </c>
      <c r="D210" s="99" t="s">
        <v>401</v>
      </c>
      <c r="E210" s="99" t="s">
        <v>600</v>
      </c>
      <c r="F210" s="99" t="s">
        <v>299</v>
      </c>
      <c r="G210" s="99" t="s">
        <v>515</v>
      </c>
      <c r="H210" s="191">
        <f>882155.91+71630.66</f>
        <v>953786.57</v>
      </c>
      <c r="I210" s="191">
        <v>882144</v>
      </c>
      <c r="J210" s="191">
        <v>882144</v>
      </c>
    </row>
    <row r="211" spans="1:10" ht="30" customHeight="1">
      <c r="A211" s="71" t="s">
        <v>265</v>
      </c>
      <c r="B211" s="59" t="s">
        <v>503</v>
      </c>
      <c r="C211" s="99" t="s">
        <v>422</v>
      </c>
      <c r="D211" s="99" t="s">
        <v>401</v>
      </c>
      <c r="E211" s="99" t="s">
        <v>600</v>
      </c>
      <c r="F211" s="99" t="s">
        <v>330</v>
      </c>
      <c r="G211" s="99" t="s">
        <v>515</v>
      </c>
      <c r="H211" s="191">
        <v>21256</v>
      </c>
      <c r="I211" s="191">
        <v>21256</v>
      </c>
      <c r="J211" s="191">
        <v>21256</v>
      </c>
    </row>
    <row r="212" spans="1:10" ht="45" customHeight="1">
      <c r="A212" s="71" t="s">
        <v>601</v>
      </c>
      <c r="B212" s="59" t="s">
        <v>503</v>
      </c>
      <c r="C212" s="99" t="s">
        <v>422</v>
      </c>
      <c r="D212" s="99" t="s">
        <v>401</v>
      </c>
      <c r="E212" s="99" t="s">
        <v>602</v>
      </c>
      <c r="F212" s="99"/>
      <c r="G212" s="99"/>
      <c r="H212" s="191">
        <f>SUM(H213:H214)</f>
        <v>930020.9</v>
      </c>
      <c r="I212" s="191">
        <f>SUM(I213:I214)</f>
        <v>930020.9</v>
      </c>
      <c r="J212" s="191">
        <f>SUM(J213:J214)</f>
        <v>930020.9</v>
      </c>
    </row>
    <row r="213" spans="1:10" ht="60" customHeight="1">
      <c r="A213" s="71" t="s">
        <v>264</v>
      </c>
      <c r="B213" s="59" t="s">
        <v>503</v>
      </c>
      <c r="C213" s="99" t="s">
        <v>422</v>
      </c>
      <c r="D213" s="99" t="s">
        <v>401</v>
      </c>
      <c r="E213" s="99" t="s">
        <v>602</v>
      </c>
      <c r="F213" s="99" t="s">
        <v>299</v>
      </c>
      <c r="G213" s="99" t="s">
        <v>515</v>
      </c>
      <c r="H213" s="191">
        <v>889364.9</v>
      </c>
      <c r="I213" s="191">
        <v>889364.9</v>
      </c>
      <c r="J213" s="191">
        <v>889364.9</v>
      </c>
    </row>
    <row r="214" spans="1:10" ht="30" customHeight="1">
      <c r="A214" s="71" t="s">
        <v>265</v>
      </c>
      <c r="B214" s="59" t="s">
        <v>503</v>
      </c>
      <c r="C214" s="99" t="s">
        <v>422</v>
      </c>
      <c r="D214" s="99" t="s">
        <v>401</v>
      </c>
      <c r="E214" s="99" t="s">
        <v>602</v>
      </c>
      <c r="F214" s="99" t="s">
        <v>330</v>
      </c>
      <c r="G214" s="99" t="s">
        <v>515</v>
      </c>
      <c r="H214" s="191">
        <v>40656</v>
      </c>
      <c r="I214" s="191">
        <v>40656</v>
      </c>
      <c r="J214" s="191">
        <v>40656</v>
      </c>
    </row>
    <row r="215" spans="1:10" ht="15.75" customHeight="1">
      <c r="A215" s="87" t="s">
        <v>457</v>
      </c>
      <c r="B215" s="85" t="s">
        <v>503</v>
      </c>
      <c r="C215" s="187" t="s">
        <v>412</v>
      </c>
      <c r="D215" s="187"/>
      <c r="E215" s="187"/>
      <c r="F215" s="187"/>
      <c r="G215" s="187"/>
      <c r="H215" s="88">
        <f>H216</f>
        <v>2857339</v>
      </c>
      <c r="I215" s="88">
        <f>I216</f>
        <v>500000</v>
      </c>
      <c r="J215" s="88">
        <f>J216</f>
        <v>500000</v>
      </c>
    </row>
    <row r="216" spans="1:10" ht="15.75" customHeight="1">
      <c r="A216" s="87" t="s">
        <v>458</v>
      </c>
      <c r="B216" s="85" t="s">
        <v>503</v>
      </c>
      <c r="C216" s="187" t="s">
        <v>412</v>
      </c>
      <c r="D216" s="187" t="s">
        <v>383</v>
      </c>
      <c r="E216" s="187"/>
      <c r="F216" s="187"/>
      <c r="G216" s="187"/>
      <c r="H216" s="88">
        <f>H221+H217</f>
        <v>2857339</v>
      </c>
      <c r="I216" s="88">
        <f>I221+I217</f>
        <v>500000</v>
      </c>
      <c r="J216" s="88">
        <f>J221+J217</f>
        <v>500000</v>
      </c>
    </row>
    <row r="217" spans="1:10" ht="31.5" customHeight="1">
      <c r="A217" s="87" t="s">
        <v>353</v>
      </c>
      <c r="B217" s="85" t="s">
        <v>503</v>
      </c>
      <c r="C217" s="187" t="s">
        <v>412</v>
      </c>
      <c r="D217" s="187" t="s">
        <v>383</v>
      </c>
      <c r="E217" s="187" t="s">
        <v>354</v>
      </c>
      <c r="F217" s="187"/>
      <c r="G217" s="187"/>
      <c r="H217" s="88">
        <f>H218</f>
        <v>2357339</v>
      </c>
      <c r="I217" s="88">
        <f>I218</f>
        <v>0</v>
      </c>
      <c r="J217" s="88">
        <f>J218</f>
        <v>0</v>
      </c>
    </row>
    <row r="218" spans="1:10" ht="15.75" customHeight="1">
      <c r="A218" s="87" t="s">
        <v>262</v>
      </c>
      <c r="B218" s="85" t="s">
        <v>503</v>
      </c>
      <c r="C218" s="187" t="s">
        <v>412</v>
      </c>
      <c r="D218" s="187" t="s">
        <v>383</v>
      </c>
      <c r="E218" s="187" t="s">
        <v>355</v>
      </c>
      <c r="F218" s="187"/>
      <c r="G218" s="187"/>
      <c r="H218" s="88">
        <f>H219</f>
        <v>2357339</v>
      </c>
      <c r="I218" s="88">
        <f>I219</f>
        <v>0</v>
      </c>
      <c r="J218" s="88">
        <f>J219</f>
        <v>0</v>
      </c>
    </row>
    <row r="219" spans="1:10" ht="30" customHeight="1">
      <c r="A219" s="71" t="s">
        <v>416</v>
      </c>
      <c r="B219" s="59" t="s">
        <v>503</v>
      </c>
      <c r="C219" s="99" t="s">
        <v>412</v>
      </c>
      <c r="D219" s="99" t="s">
        <v>383</v>
      </c>
      <c r="E219" s="99" t="s">
        <v>603</v>
      </c>
      <c r="F219" s="99"/>
      <c r="G219" s="99"/>
      <c r="H219" s="191">
        <f>H220</f>
        <v>2357339</v>
      </c>
      <c r="I219" s="191">
        <f>I1861</f>
        <v>0</v>
      </c>
      <c r="J219" s="191">
        <f>J1861</f>
        <v>0</v>
      </c>
    </row>
    <row r="220" spans="1:10" ht="60" customHeight="1">
      <c r="A220" s="71" t="s">
        <v>264</v>
      </c>
      <c r="B220" s="59" t="s">
        <v>503</v>
      </c>
      <c r="C220" s="99" t="s">
        <v>412</v>
      </c>
      <c r="D220" s="99" t="s">
        <v>383</v>
      </c>
      <c r="E220" s="99" t="s">
        <v>603</v>
      </c>
      <c r="F220" s="99" t="s">
        <v>299</v>
      </c>
      <c r="G220" s="99" t="s">
        <v>515</v>
      </c>
      <c r="H220" s="191">
        <f>763559+1294354+299426</f>
        <v>2357339</v>
      </c>
      <c r="I220" s="191">
        <v>0</v>
      </c>
      <c r="J220" s="191">
        <v>0</v>
      </c>
    </row>
    <row r="221" spans="1:10" ht="15.75" customHeight="1">
      <c r="A221" s="186" t="s">
        <v>386</v>
      </c>
      <c r="B221" s="85" t="s">
        <v>503</v>
      </c>
      <c r="C221" s="187" t="s">
        <v>412</v>
      </c>
      <c r="D221" s="187" t="s">
        <v>383</v>
      </c>
      <c r="E221" s="91" t="s">
        <v>387</v>
      </c>
      <c r="F221" s="187"/>
      <c r="G221" s="187"/>
      <c r="H221" s="88">
        <f>H222</f>
        <v>500000</v>
      </c>
      <c r="I221" s="88">
        <f>I222</f>
        <v>500000</v>
      </c>
      <c r="J221" s="88">
        <f>J222</f>
        <v>500000</v>
      </c>
    </row>
    <row r="222" spans="1:10" ht="15.75" customHeight="1">
      <c r="A222" s="71" t="s">
        <v>406</v>
      </c>
      <c r="B222" s="59" t="s">
        <v>503</v>
      </c>
      <c r="C222" s="99" t="s">
        <v>412</v>
      </c>
      <c r="D222" s="99" t="s">
        <v>383</v>
      </c>
      <c r="E222" s="163" t="s">
        <v>407</v>
      </c>
      <c r="F222" s="187"/>
      <c r="G222" s="187"/>
      <c r="H222" s="191">
        <f>H223</f>
        <v>500000</v>
      </c>
      <c r="I222" s="191">
        <f>I223</f>
        <v>500000</v>
      </c>
      <c r="J222" s="191">
        <f>J223</f>
        <v>500000</v>
      </c>
    </row>
    <row r="223" spans="1:10" ht="16.5" customHeight="1">
      <c r="A223" s="200" t="s">
        <v>459</v>
      </c>
      <c r="B223" s="59" t="s">
        <v>503</v>
      </c>
      <c r="C223" s="99" t="s">
        <v>412</v>
      </c>
      <c r="D223" s="99" t="s">
        <v>383</v>
      </c>
      <c r="E223" s="99" t="s">
        <v>460</v>
      </c>
      <c r="F223" s="99"/>
      <c r="G223" s="99"/>
      <c r="H223" s="191">
        <f>H224</f>
        <v>500000</v>
      </c>
      <c r="I223" s="191">
        <f>I224</f>
        <v>500000</v>
      </c>
      <c r="J223" s="191">
        <f>J224</f>
        <v>500000</v>
      </c>
    </row>
    <row r="224" spans="1:10" ht="30" customHeight="1">
      <c r="A224" s="71" t="s">
        <v>265</v>
      </c>
      <c r="B224" s="59" t="s">
        <v>503</v>
      </c>
      <c r="C224" s="99" t="s">
        <v>412</v>
      </c>
      <c r="D224" s="99" t="s">
        <v>383</v>
      </c>
      <c r="E224" s="99" t="s">
        <v>460</v>
      </c>
      <c r="F224" s="99" t="s">
        <v>330</v>
      </c>
      <c r="G224" s="99" t="s">
        <v>513</v>
      </c>
      <c r="H224" s="191">
        <v>500000</v>
      </c>
      <c r="I224" s="191">
        <v>500000</v>
      </c>
      <c r="J224" s="29">
        <v>500000</v>
      </c>
    </row>
    <row r="225" spans="1:10" ht="47.25" customHeight="1">
      <c r="A225" s="12" t="s">
        <v>461</v>
      </c>
      <c r="B225" s="201" t="s">
        <v>503</v>
      </c>
      <c r="C225" s="176" t="s">
        <v>462</v>
      </c>
      <c r="D225" s="176"/>
      <c r="E225" s="176"/>
      <c r="F225" s="176"/>
      <c r="G225" s="187"/>
      <c r="H225" s="88">
        <f>H226+H231</f>
        <v>263739856</v>
      </c>
      <c r="I225" s="88">
        <f>I226+I231</f>
        <v>210358000</v>
      </c>
      <c r="J225" s="88">
        <f>J226+J231</f>
        <v>210802000</v>
      </c>
    </row>
    <row r="226" spans="1:10" ht="47.25" customHeight="1">
      <c r="A226" s="12" t="s">
        <v>604</v>
      </c>
      <c r="B226" s="201" t="s">
        <v>503</v>
      </c>
      <c r="C226" s="176" t="s">
        <v>462</v>
      </c>
      <c r="D226" s="176" t="s">
        <v>383</v>
      </c>
      <c r="E226" s="176"/>
      <c r="F226" s="176"/>
      <c r="G226" s="187"/>
      <c r="H226" s="88">
        <f>H227</f>
        <v>258867000</v>
      </c>
      <c r="I226" s="88">
        <f>I227</f>
        <v>210358000</v>
      </c>
      <c r="J226" s="88">
        <f>J227</f>
        <v>210802000</v>
      </c>
    </row>
    <row r="227" spans="1:10" ht="15.75" customHeight="1">
      <c r="A227" s="87" t="s">
        <v>386</v>
      </c>
      <c r="B227" s="201" t="s">
        <v>503</v>
      </c>
      <c r="C227" s="176" t="s">
        <v>462</v>
      </c>
      <c r="D227" s="176" t="s">
        <v>383</v>
      </c>
      <c r="E227" s="176" t="s">
        <v>387</v>
      </c>
      <c r="F227" s="176"/>
      <c r="G227" s="187"/>
      <c r="H227" s="88">
        <f>H228</f>
        <v>258867000</v>
      </c>
      <c r="I227" s="88">
        <f>I228</f>
        <v>210358000</v>
      </c>
      <c r="J227" s="88">
        <f>J228</f>
        <v>210802000</v>
      </c>
    </row>
    <row r="228" spans="1:10" ht="15.75" customHeight="1">
      <c r="A228" s="87" t="s">
        <v>464</v>
      </c>
      <c r="B228" s="201" t="s">
        <v>503</v>
      </c>
      <c r="C228" s="176" t="s">
        <v>462</v>
      </c>
      <c r="D228" s="176" t="s">
        <v>383</v>
      </c>
      <c r="E228" s="176" t="s">
        <v>465</v>
      </c>
      <c r="F228" s="176"/>
      <c r="G228" s="187"/>
      <c r="H228" s="88">
        <f>H229</f>
        <v>258867000</v>
      </c>
      <c r="I228" s="88">
        <f>I229</f>
        <v>210358000</v>
      </c>
      <c r="J228" s="88">
        <f>J229</f>
        <v>210802000</v>
      </c>
    </row>
    <row r="229" spans="1:10" ht="30" customHeight="1">
      <c r="A229" s="20" t="s">
        <v>605</v>
      </c>
      <c r="B229" s="9" t="s">
        <v>503</v>
      </c>
      <c r="C229" s="23" t="s">
        <v>462</v>
      </c>
      <c r="D229" s="23" t="s">
        <v>383</v>
      </c>
      <c r="E229" s="23" t="s">
        <v>606</v>
      </c>
      <c r="F229" s="23"/>
      <c r="G229" s="99"/>
      <c r="H229" s="191">
        <f>H230</f>
        <v>258867000</v>
      </c>
      <c r="I229" s="191">
        <f>I230</f>
        <v>210358000</v>
      </c>
      <c r="J229" s="191">
        <f>J230</f>
        <v>210802000</v>
      </c>
    </row>
    <row r="230" spans="1:10" ht="16.5" customHeight="1">
      <c r="A230" s="177" t="s">
        <v>464</v>
      </c>
      <c r="B230" s="9" t="s">
        <v>503</v>
      </c>
      <c r="C230" s="23" t="s">
        <v>462</v>
      </c>
      <c r="D230" s="23" t="s">
        <v>383</v>
      </c>
      <c r="E230" s="23" t="s">
        <v>606</v>
      </c>
      <c r="F230" s="23" t="s">
        <v>468</v>
      </c>
      <c r="G230" s="99" t="s">
        <v>515</v>
      </c>
      <c r="H230" s="191">
        <v>258867000</v>
      </c>
      <c r="I230" s="191">
        <v>210358000</v>
      </c>
      <c r="J230" s="97">
        <v>210802000</v>
      </c>
    </row>
    <row r="231" spans="1:10" ht="15.75" customHeight="1">
      <c r="A231" s="177" t="s">
        <v>607</v>
      </c>
      <c r="B231" s="201" t="s">
        <v>503</v>
      </c>
      <c r="C231" s="176" t="s">
        <v>462</v>
      </c>
      <c r="D231" s="176" t="s">
        <v>385</v>
      </c>
      <c r="E231" s="176"/>
      <c r="F231" s="176"/>
      <c r="G231" s="187"/>
      <c r="H231" s="191">
        <f>H232</f>
        <v>4872856</v>
      </c>
      <c r="I231" s="191">
        <f>I232</f>
        <v>0</v>
      </c>
      <c r="J231" s="191">
        <f>J232</f>
        <v>0</v>
      </c>
    </row>
    <row r="232" spans="1:10" ht="15.75" customHeight="1">
      <c r="A232" s="87" t="s">
        <v>386</v>
      </c>
      <c r="B232" s="201" t="s">
        <v>503</v>
      </c>
      <c r="C232" s="176" t="s">
        <v>462</v>
      </c>
      <c r="D232" s="176" t="s">
        <v>385</v>
      </c>
      <c r="E232" s="176" t="s">
        <v>387</v>
      </c>
      <c r="F232" s="176"/>
      <c r="G232" s="187"/>
      <c r="H232" s="191">
        <f>H233</f>
        <v>4872856</v>
      </c>
      <c r="I232" s="191">
        <f>I233</f>
        <v>0</v>
      </c>
      <c r="J232" s="191">
        <f>J233</f>
        <v>0</v>
      </c>
    </row>
    <row r="233" spans="1:10" ht="15.75" customHeight="1">
      <c r="A233" s="87" t="s">
        <v>464</v>
      </c>
      <c r="B233" s="201" t="s">
        <v>503</v>
      </c>
      <c r="C233" s="176" t="s">
        <v>462</v>
      </c>
      <c r="D233" s="176" t="s">
        <v>385</v>
      </c>
      <c r="E233" s="176" t="s">
        <v>465</v>
      </c>
      <c r="F233" s="176"/>
      <c r="G233" s="187"/>
      <c r="H233" s="191">
        <f>H234</f>
        <v>4872856</v>
      </c>
      <c r="I233" s="191">
        <f>I234</f>
        <v>0</v>
      </c>
      <c r="J233" s="191">
        <f>J234</f>
        <v>0</v>
      </c>
    </row>
    <row r="234" spans="1:10" ht="45" customHeight="1">
      <c r="A234" s="177" t="s">
        <v>608</v>
      </c>
      <c r="B234" s="9" t="s">
        <v>503</v>
      </c>
      <c r="C234" s="23" t="s">
        <v>462</v>
      </c>
      <c r="D234" s="23" t="s">
        <v>385</v>
      </c>
      <c r="E234" s="23" t="s">
        <v>609</v>
      </c>
      <c r="F234" s="23"/>
      <c r="G234" s="99"/>
      <c r="H234" s="191">
        <f>H235</f>
        <v>4872856</v>
      </c>
      <c r="I234" s="191">
        <f>I235</f>
        <v>0</v>
      </c>
      <c r="J234" s="191">
        <f>J235</f>
        <v>0</v>
      </c>
    </row>
    <row r="235" spans="1:10" ht="16.5" customHeight="1">
      <c r="A235" s="177" t="s">
        <v>464</v>
      </c>
      <c r="B235" s="9" t="s">
        <v>503</v>
      </c>
      <c r="C235" s="23" t="s">
        <v>462</v>
      </c>
      <c r="D235" s="23" t="s">
        <v>385</v>
      </c>
      <c r="E235" s="23" t="s">
        <v>609</v>
      </c>
      <c r="F235" s="23" t="s">
        <v>468</v>
      </c>
      <c r="G235" s="99" t="s">
        <v>515</v>
      </c>
      <c r="H235" s="191">
        <f>3405490+1337166+130200</f>
        <v>4872856</v>
      </c>
      <c r="I235" s="191">
        <v>0</v>
      </c>
      <c r="J235" s="29">
        <v>0</v>
      </c>
    </row>
    <row r="236" spans="1:10" ht="16.5" customHeight="1">
      <c r="A236" s="202"/>
      <c r="B236" s="203"/>
      <c r="C236" s="204"/>
      <c r="D236" s="204"/>
      <c r="E236" s="204"/>
      <c r="F236" s="204"/>
      <c r="G236" s="204"/>
      <c r="H236" s="205"/>
      <c r="I236" s="205"/>
      <c r="J236" s="206"/>
    </row>
    <row r="237" spans="1:10" ht="16.5" customHeight="1">
      <c r="A237" s="207"/>
      <c r="B237" s="5"/>
      <c r="C237" s="208"/>
      <c r="D237" s="208"/>
      <c r="E237" s="208"/>
      <c r="F237" s="208"/>
      <c r="G237" s="208"/>
      <c r="H237" s="209"/>
      <c r="I237" s="209"/>
      <c r="J237" s="210"/>
    </row>
    <row r="238" spans="1:10" ht="13.5" customHeight="1">
      <c r="A238" s="2"/>
      <c r="B238" s="116"/>
      <c r="C238" s="116"/>
      <c r="D238" s="116"/>
      <c r="E238" s="116"/>
      <c r="F238" s="116"/>
      <c r="G238" s="116"/>
      <c r="H238" s="116"/>
      <c r="I238" s="116"/>
      <c r="J238" s="116"/>
    </row>
    <row r="239" spans="1:10" ht="13.5" customHeight="1">
      <c r="A239" s="40" t="s">
        <v>610</v>
      </c>
      <c r="B239" s="116"/>
      <c r="C239" s="116"/>
      <c r="D239" s="116"/>
      <c r="E239" s="116"/>
      <c r="F239" s="116"/>
      <c r="G239" s="116"/>
      <c r="H239" s="116"/>
      <c r="I239" s="116"/>
      <c r="J239" s="116"/>
    </row>
    <row r="240" spans="1:10" ht="13.5" customHeight="1">
      <c r="A240" s="2"/>
      <c r="B240" s="116"/>
      <c r="C240" s="116"/>
      <c r="D240" s="116"/>
      <c r="E240" s="116"/>
      <c r="F240" s="116"/>
      <c r="G240" s="116"/>
      <c r="H240" s="116"/>
      <c r="I240" s="116"/>
      <c r="J240" s="116"/>
    </row>
    <row r="241" spans="1:10" ht="13.5" customHeight="1">
      <c r="A241" s="2"/>
      <c r="B241" s="116"/>
      <c r="C241" s="116"/>
      <c r="D241" s="116"/>
      <c r="E241" s="116"/>
      <c r="F241" s="116"/>
      <c r="G241" s="116"/>
      <c r="H241" s="116"/>
      <c r="I241" s="116"/>
      <c r="J241" s="116"/>
    </row>
    <row r="242" spans="1:10" ht="13.5" customHeight="1">
      <c r="A242" s="2"/>
      <c r="B242" s="116"/>
      <c r="C242" s="116"/>
      <c r="D242" s="116"/>
      <c r="E242" s="116"/>
      <c r="F242" s="116"/>
      <c r="G242" s="116"/>
      <c r="H242" s="116"/>
      <c r="I242" s="116"/>
      <c r="J242" s="116"/>
    </row>
    <row r="243" spans="1:10" ht="13.5" customHeight="1">
      <c r="A243" s="2"/>
      <c r="B243" s="116"/>
      <c r="C243" s="116"/>
      <c r="D243" s="116"/>
      <c r="E243" s="116"/>
      <c r="F243" s="116"/>
      <c r="G243" s="116"/>
      <c r="H243" s="116"/>
      <c r="I243" s="116"/>
      <c r="J243" s="116"/>
    </row>
    <row r="244" spans="1:10" ht="13.5" customHeight="1">
      <c r="A244" s="2"/>
      <c r="B244" s="116"/>
      <c r="C244" s="116"/>
      <c r="D244" s="116"/>
      <c r="E244" s="116"/>
      <c r="F244" s="116"/>
      <c r="G244" s="116"/>
      <c r="H244" s="116"/>
      <c r="I244" s="116"/>
      <c r="J244" s="116"/>
    </row>
    <row r="245" spans="1:10" ht="13.5" customHeight="1">
      <c r="A245" s="2"/>
      <c r="B245" s="116"/>
      <c r="C245" s="116"/>
      <c r="D245" s="116"/>
      <c r="E245" s="116"/>
      <c r="F245" s="116"/>
      <c r="G245" s="116"/>
      <c r="H245" s="116"/>
      <c r="I245" s="116"/>
      <c r="J245" s="116"/>
    </row>
    <row r="246" spans="1:10" ht="13.5" customHeight="1">
      <c r="A246" s="2"/>
      <c r="B246" s="116"/>
      <c r="C246" s="116"/>
      <c r="D246" s="116"/>
      <c r="E246" s="116"/>
      <c r="F246" s="116"/>
      <c r="G246" s="116"/>
      <c r="H246" s="116"/>
      <c r="I246" s="116"/>
      <c r="J246" s="116"/>
    </row>
    <row r="247" spans="1:10" ht="13.5" customHeight="1">
      <c r="A247" s="2"/>
      <c r="B247" s="116"/>
      <c r="C247" s="116"/>
      <c r="D247" s="116"/>
      <c r="E247" s="116"/>
      <c r="F247" s="116"/>
      <c r="G247" s="116"/>
      <c r="H247" s="116"/>
      <c r="I247" s="116"/>
      <c r="J247" s="116"/>
    </row>
    <row r="248" spans="1:10" ht="13.5" customHeight="1">
      <c r="A248" s="2"/>
      <c r="B248" s="116"/>
      <c r="C248" s="116"/>
      <c r="D248" s="116"/>
      <c r="E248" s="116"/>
      <c r="F248" s="116"/>
      <c r="G248" s="116"/>
      <c r="H248" s="116"/>
      <c r="I248" s="116"/>
      <c r="J248" s="116"/>
    </row>
    <row r="249" spans="1:10" ht="13.5" customHeight="1">
      <c r="A249" s="2"/>
      <c r="B249" s="116"/>
      <c r="C249" s="116"/>
      <c r="D249" s="116"/>
      <c r="E249" s="116"/>
      <c r="F249" s="116"/>
      <c r="G249" s="116"/>
      <c r="H249" s="116"/>
      <c r="I249" s="116"/>
      <c r="J249" s="116"/>
    </row>
    <row r="250" spans="1:10" ht="13.5" customHeight="1">
      <c r="A250" s="2"/>
      <c r="B250" s="116"/>
      <c r="C250" s="116"/>
      <c r="D250" s="116"/>
      <c r="E250" s="116"/>
      <c r="F250" s="116"/>
      <c r="G250" s="116"/>
      <c r="H250" s="116"/>
      <c r="I250" s="116"/>
      <c r="J250" s="116"/>
    </row>
    <row r="251" spans="1:10" ht="13.5" customHeight="1">
      <c r="A251" s="2"/>
      <c r="B251" s="116"/>
      <c r="C251" s="116"/>
      <c r="D251" s="116"/>
      <c r="E251" s="116"/>
      <c r="F251" s="116"/>
      <c r="G251" s="116"/>
      <c r="H251" s="116"/>
      <c r="I251" s="116"/>
      <c r="J251" s="116"/>
    </row>
    <row r="252" spans="1:10" ht="13.5" customHeight="1">
      <c r="A252" s="2"/>
      <c r="B252" s="116"/>
      <c r="C252" s="116"/>
      <c r="D252" s="116"/>
      <c r="E252" s="116"/>
      <c r="F252" s="116"/>
      <c r="G252" s="116"/>
      <c r="H252" s="116"/>
      <c r="I252" s="116"/>
      <c r="J252" s="116"/>
    </row>
    <row r="253" spans="1:10" ht="13.5" customHeight="1">
      <c r="A253" s="2"/>
      <c r="B253" s="116"/>
      <c r="C253" s="116"/>
      <c r="D253" s="116"/>
      <c r="E253" s="116"/>
      <c r="F253" s="116"/>
      <c r="G253" s="116"/>
      <c r="H253" s="116"/>
      <c r="I253" s="116"/>
      <c r="J253" s="116"/>
    </row>
    <row r="254" spans="1:10" ht="13.5" customHeight="1">
      <c r="A254" s="2"/>
      <c r="B254" s="116"/>
      <c r="C254" s="116"/>
      <c r="D254" s="116"/>
      <c r="E254" s="116"/>
      <c r="F254" s="116"/>
      <c r="G254" s="116"/>
      <c r="H254" s="116"/>
      <c r="I254" s="116"/>
      <c r="J254" s="116"/>
    </row>
    <row r="255" spans="1:10" ht="13.5" customHeight="1">
      <c r="A255" s="2"/>
      <c r="B255" s="116"/>
      <c r="C255" s="116"/>
      <c r="D255" s="116"/>
      <c r="E255" s="116"/>
      <c r="F255" s="116"/>
      <c r="G255" s="116"/>
      <c r="H255" s="116"/>
      <c r="I255" s="116"/>
      <c r="J255" s="116"/>
    </row>
    <row r="256" spans="1:10" ht="13.5" customHeight="1">
      <c r="A256" s="2"/>
      <c r="B256" s="116"/>
      <c r="C256" s="116"/>
      <c r="D256" s="116"/>
      <c r="E256" s="116"/>
      <c r="F256" s="116"/>
      <c r="G256" s="116"/>
      <c r="H256" s="116"/>
      <c r="I256" s="116"/>
      <c r="J256" s="116"/>
    </row>
    <row r="257" spans="1:10" ht="13.5" customHeight="1">
      <c r="A257" s="2"/>
      <c r="B257" s="116"/>
      <c r="C257" s="116"/>
      <c r="D257" s="116"/>
      <c r="E257" s="116"/>
      <c r="F257" s="116"/>
      <c r="G257" s="116"/>
      <c r="H257" s="116"/>
      <c r="I257" s="116"/>
      <c r="J257" s="116"/>
    </row>
    <row r="258" spans="1:10" ht="13.5" customHeight="1">
      <c r="A258" s="2"/>
      <c r="B258" s="116"/>
      <c r="C258" s="116"/>
      <c r="D258" s="116"/>
      <c r="E258" s="116"/>
      <c r="F258" s="116"/>
      <c r="G258" s="116"/>
      <c r="H258" s="116"/>
      <c r="I258" s="116"/>
      <c r="J258" s="116"/>
    </row>
    <row r="259" spans="1:10" ht="13.5" customHeight="1">
      <c r="A259" s="2"/>
      <c r="B259" s="116"/>
      <c r="C259" s="116"/>
      <c r="D259" s="116"/>
      <c r="E259" s="116"/>
      <c r="F259" s="116"/>
      <c r="G259" s="116"/>
      <c r="H259" s="116"/>
      <c r="I259" s="116"/>
      <c r="J259" s="116"/>
    </row>
    <row r="260" spans="1:10" ht="13.5" customHeight="1">
      <c r="A260" s="2"/>
      <c r="B260" s="116"/>
      <c r="C260" s="116"/>
      <c r="D260" s="116"/>
      <c r="E260" s="116"/>
      <c r="F260" s="116"/>
      <c r="G260" s="116"/>
      <c r="H260" s="116"/>
      <c r="I260" s="116"/>
      <c r="J260" s="116"/>
    </row>
    <row r="261" spans="1:10" ht="13.5" customHeight="1">
      <c r="A261" s="2"/>
      <c r="B261" s="116"/>
      <c r="C261" s="116"/>
      <c r="D261" s="116"/>
      <c r="E261" s="116"/>
      <c r="F261" s="116"/>
      <c r="G261" s="116"/>
      <c r="H261" s="116"/>
      <c r="I261" s="116"/>
      <c r="J261" s="116"/>
    </row>
    <row r="262" spans="1:10" ht="13.5" customHeight="1">
      <c r="A262" s="2"/>
      <c r="B262" s="116"/>
      <c r="C262" s="116"/>
      <c r="D262" s="116"/>
      <c r="E262" s="116"/>
      <c r="F262" s="116"/>
      <c r="G262" s="116"/>
      <c r="H262" s="116"/>
      <c r="I262" s="116"/>
      <c r="J262" s="116"/>
    </row>
    <row r="263" spans="1:10" ht="13.5" customHeight="1">
      <c r="A263" s="2"/>
      <c r="B263" s="116"/>
      <c r="C263" s="116"/>
      <c r="D263" s="116"/>
      <c r="E263" s="116"/>
      <c r="F263" s="116"/>
      <c r="G263" s="116"/>
      <c r="H263" s="116"/>
      <c r="I263" s="116"/>
      <c r="J263" s="116"/>
    </row>
    <row r="264" spans="1:10" ht="13.5" customHeight="1">
      <c r="A264" s="2"/>
      <c r="B264" s="116"/>
      <c r="C264" s="116"/>
      <c r="D264" s="116"/>
      <c r="E264" s="116"/>
      <c r="F264" s="116"/>
      <c r="G264" s="116"/>
      <c r="H264" s="116"/>
      <c r="I264" s="116"/>
      <c r="J264" s="116"/>
    </row>
    <row r="265" spans="1:10" ht="13.5" customHeight="1">
      <c r="A265" s="2"/>
      <c r="B265" s="116"/>
      <c r="C265" s="116"/>
      <c r="D265" s="116"/>
      <c r="E265" s="116"/>
      <c r="F265" s="116"/>
      <c r="G265" s="116"/>
      <c r="H265" s="116"/>
      <c r="I265" s="116"/>
      <c r="J265" s="116"/>
    </row>
    <row r="266" spans="1:10" ht="13.5" customHeight="1">
      <c r="A266" s="2"/>
      <c r="B266" s="116"/>
      <c r="C266" s="116"/>
      <c r="D266" s="116"/>
      <c r="E266" s="116"/>
      <c r="F266" s="116"/>
      <c r="G266" s="116"/>
      <c r="H266" s="116"/>
      <c r="I266" s="116"/>
      <c r="J266" s="116"/>
    </row>
    <row r="267" spans="1:10" ht="13.5" customHeight="1">
      <c r="A267" s="2"/>
      <c r="B267" s="116"/>
      <c r="C267" s="116"/>
      <c r="D267" s="116"/>
      <c r="E267" s="116"/>
      <c r="F267" s="116"/>
      <c r="G267" s="116"/>
      <c r="H267" s="116"/>
      <c r="I267" s="116"/>
      <c r="J267" s="116"/>
    </row>
    <row r="268" spans="1:10" ht="13.5" customHeight="1">
      <c r="A268" s="2"/>
      <c r="B268" s="116"/>
      <c r="C268" s="116"/>
      <c r="D268" s="116"/>
      <c r="E268" s="116"/>
      <c r="F268" s="116"/>
      <c r="G268" s="116"/>
      <c r="H268" s="116"/>
      <c r="I268" s="116"/>
      <c r="J268" s="116"/>
    </row>
    <row r="269" spans="1:10" ht="13.5" customHeight="1">
      <c r="A269" s="2"/>
      <c r="B269" s="116"/>
      <c r="C269" s="116"/>
      <c r="D269" s="116"/>
      <c r="E269" s="116"/>
      <c r="F269" s="116"/>
      <c r="G269" s="116"/>
      <c r="H269" s="116"/>
      <c r="I269" s="116"/>
      <c r="J269" s="116"/>
    </row>
    <row r="270" spans="1:10" ht="13.5" customHeight="1">
      <c r="A270" s="2"/>
      <c r="B270" s="116"/>
      <c r="C270" s="116"/>
      <c r="D270" s="116"/>
      <c r="E270" s="116"/>
      <c r="F270" s="116"/>
      <c r="G270" s="116"/>
      <c r="H270" s="116"/>
      <c r="I270" s="116"/>
      <c r="J270" s="116"/>
    </row>
    <row r="271" spans="1:10" ht="13.5" customHeight="1">
      <c r="A271" s="2"/>
      <c r="B271" s="116"/>
      <c r="C271" s="116"/>
      <c r="D271" s="116"/>
      <c r="E271" s="116"/>
      <c r="F271" s="116"/>
      <c r="G271" s="116"/>
      <c r="H271" s="116"/>
      <c r="I271" s="116"/>
      <c r="J271" s="116"/>
    </row>
    <row r="272" spans="1:10" ht="13.5" customHeight="1">
      <c r="A272" s="2"/>
      <c r="B272" s="116"/>
      <c r="C272" s="116"/>
      <c r="D272" s="116"/>
      <c r="E272" s="116"/>
      <c r="F272" s="116"/>
      <c r="G272" s="116"/>
      <c r="H272" s="116"/>
      <c r="I272" s="116"/>
      <c r="J272" s="116"/>
    </row>
    <row r="273" spans="1:10" ht="13.5" customHeight="1">
      <c r="A273" s="2"/>
      <c r="B273" s="116"/>
      <c r="C273" s="116"/>
      <c r="D273" s="116"/>
      <c r="E273" s="116"/>
      <c r="F273" s="116"/>
      <c r="G273" s="116"/>
      <c r="H273" s="116"/>
      <c r="I273" s="116"/>
      <c r="J273" s="116"/>
    </row>
    <row r="274" spans="1:10" ht="13.5" customHeight="1">
      <c r="A274" s="2"/>
      <c r="B274" s="116"/>
      <c r="C274" s="116"/>
      <c r="D274" s="116"/>
      <c r="E274" s="116"/>
      <c r="F274" s="116"/>
      <c r="G274" s="116"/>
      <c r="H274" s="116"/>
      <c r="I274" s="116"/>
      <c r="J274" s="116"/>
    </row>
    <row r="275" spans="1:10" ht="13.5" customHeight="1">
      <c r="A275" s="2"/>
      <c r="B275" s="116"/>
      <c r="C275" s="116"/>
      <c r="D275" s="116"/>
      <c r="E275" s="116"/>
      <c r="F275" s="116"/>
      <c r="G275" s="116"/>
      <c r="H275" s="116"/>
      <c r="I275" s="116"/>
      <c r="J275" s="116"/>
    </row>
    <row r="276" spans="1:10" ht="13.5" customHeight="1">
      <c r="A276" s="2"/>
      <c r="B276" s="116"/>
      <c r="C276" s="116"/>
      <c r="D276" s="116"/>
      <c r="E276" s="116"/>
      <c r="F276" s="116"/>
      <c r="G276" s="116"/>
      <c r="H276" s="116"/>
      <c r="I276" s="116"/>
      <c r="J276" s="116"/>
    </row>
    <row r="277" spans="1:10" ht="13.5" customHeight="1">
      <c r="A277" s="2"/>
      <c r="B277" s="116"/>
      <c r="C277" s="116"/>
      <c r="D277" s="116"/>
      <c r="E277" s="116"/>
      <c r="F277" s="116"/>
      <c r="G277" s="116"/>
      <c r="H277" s="116"/>
      <c r="I277" s="116"/>
      <c r="J277" s="116"/>
    </row>
    <row r="278" spans="1:10" ht="13.5" customHeight="1">
      <c r="A278" s="2"/>
      <c r="B278" s="116"/>
      <c r="C278" s="116"/>
      <c r="D278" s="116"/>
      <c r="E278" s="116"/>
      <c r="F278" s="116"/>
      <c r="G278" s="116"/>
      <c r="H278" s="116"/>
      <c r="I278" s="116"/>
      <c r="J278" s="116"/>
    </row>
    <row r="279" spans="1:10" ht="13.5" customHeight="1">
      <c r="A279" s="2"/>
      <c r="B279" s="116"/>
      <c r="C279" s="116"/>
      <c r="D279" s="116"/>
      <c r="E279" s="116"/>
      <c r="F279" s="116"/>
      <c r="G279" s="116"/>
      <c r="H279" s="116"/>
      <c r="I279" s="116"/>
      <c r="J279" s="116"/>
    </row>
    <row r="280" spans="1:10" ht="13.5" customHeight="1">
      <c r="A280" s="2"/>
      <c r="B280" s="116"/>
      <c r="C280" s="116"/>
      <c r="D280" s="116"/>
      <c r="E280" s="116"/>
      <c r="F280" s="116"/>
      <c r="G280" s="116"/>
      <c r="H280" s="116"/>
      <c r="I280" s="116"/>
      <c r="J280" s="116"/>
    </row>
    <row r="281" spans="1:10" ht="13.5" customHeight="1">
      <c r="A281" s="2"/>
      <c r="B281" s="116"/>
      <c r="C281" s="116"/>
      <c r="D281" s="116"/>
      <c r="E281" s="116"/>
      <c r="F281" s="116"/>
      <c r="G281" s="116"/>
      <c r="H281" s="116"/>
      <c r="I281" s="116"/>
      <c r="J281" s="116"/>
    </row>
    <row r="282" spans="1:10" ht="13.5" customHeight="1">
      <c r="A282" s="2"/>
      <c r="B282" s="116"/>
      <c r="C282" s="116"/>
      <c r="D282" s="116"/>
      <c r="E282" s="116"/>
      <c r="F282" s="116"/>
      <c r="G282" s="116"/>
      <c r="H282" s="116"/>
      <c r="I282" s="116"/>
      <c r="J282" s="116"/>
    </row>
    <row r="283" spans="1:10" ht="13.5" customHeight="1">
      <c r="A283" s="2"/>
      <c r="B283" s="116"/>
      <c r="C283" s="116"/>
      <c r="D283" s="116"/>
      <c r="E283" s="116"/>
      <c r="F283" s="116"/>
      <c r="G283" s="116"/>
      <c r="H283" s="116"/>
      <c r="I283" s="116"/>
      <c r="J283" s="116"/>
    </row>
    <row r="284" spans="1:10" ht="13.5" customHeight="1">
      <c r="A284" s="2"/>
      <c r="B284" s="116"/>
      <c r="C284" s="116"/>
      <c r="D284" s="116"/>
      <c r="E284" s="116"/>
      <c r="F284" s="116"/>
      <c r="G284" s="116"/>
      <c r="H284" s="116"/>
      <c r="I284" s="116"/>
      <c r="J284" s="116"/>
    </row>
    <row r="285" spans="1:10" ht="13.5" customHeight="1">
      <c r="A285" s="2"/>
      <c r="B285" s="116"/>
      <c r="C285" s="116"/>
      <c r="D285" s="116"/>
      <c r="E285" s="116"/>
      <c r="F285" s="116"/>
      <c r="G285" s="116"/>
      <c r="H285" s="116"/>
      <c r="I285" s="116"/>
      <c r="J285" s="116"/>
    </row>
    <row r="286" spans="1:10" ht="13.5" customHeight="1">
      <c r="A286" s="2"/>
      <c r="B286" s="116"/>
      <c r="C286" s="116"/>
      <c r="D286" s="116"/>
      <c r="E286" s="116"/>
      <c r="F286" s="116"/>
      <c r="G286" s="116"/>
      <c r="H286" s="116"/>
      <c r="I286" s="116"/>
      <c r="J286" s="116"/>
    </row>
    <row r="287" spans="1:10" ht="13.5" customHeight="1">
      <c r="A287" s="2"/>
      <c r="B287" s="116"/>
      <c r="C287" s="116"/>
      <c r="D287" s="116"/>
      <c r="E287" s="116"/>
      <c r="F287" s="116"/>
      <c r="G287" s="116"/>
      <c r="H287" s="116"/>
      <c r="I287" s="116"/>
      <c r="J287" s="116"/>
    </row>
    <row r="288" spans="1:10" ht="13.5" customHeight="1">
      <c r="A288" s="2"/>
      <c r="B288" s="116"/>
      <c r="C288" s="116"/>
      <c r="D288" s="116"/>
      <c r="E288" s="116"/>
      <c r="F288" s="116"/>
      <c r="G288" s="116"/>
      <c r="H288" s="116"/>
      <c r="I288" s="116"/>
      <c r="J288" s="116"/>
    </row>
    <row r="289" spans="1:10" ht="13.5" customHeight="1">
      <c r="A289" s="2"/>
      <c r="B289" s="116"/>
      <c r="C289" s="116"/>
      <c r="D289" s="116"/>
      <c r="E289" s="116"/>
      <c r="F289" s="116"/>
      <c r="G289" s="116"/>
      <c r="H289" s="116"/>
      <c r="I289" s="116"/>
      <c r="J289" s="116"/>
    </row>
    <row r="290" spans="1:10" ht="13.5" customHeight="1">
      <c r="A290" s="2"/>
      <c r="B290" s="116"/>
      <c r="C290" s="116"/>
      <c r="D290" s="116"/>
      <c r="E290" s="116"/>
      <c r="F290" s="116"/>
      <c r="G290" s="116"/>
      <c r="H290" s="116"/>
      <c r="I290" s="116"/>
      <c r="J290" s="116"/>
    </row>
    <row r="291" spans="1:10" ht="13.5" customHeight="1">
      <c r="A291" s="2"/>
      <c r="B291" s="116"/>
      <c r="C291" s="116"/>
      <c r="D291" s="116"/>
      <c r="E291" s="116"/>
      <c r="F291" s="116"/>
      <c r="G291" s="116"/>
      <c r="H291" s="116"/>
      <c r="I291" s="116"/>
      <c r="J291" s="116"/>
    </row>
    <row r="292" spans="1:10" ht="13.5" customHeight="1">
      <c r="A292" s="2"/>
      <c r="B292" s="116"/>
      <c r="C292" s="116"/>
      <c r="D292" s="116"/>
      <c r="E292" s="116"/>
      <c r="F292" s="116"/>
      <c r="G292" s="116"/>
      <c r="H292" s="116"/>
      <c r="I292" s="116"/>
      <c r="J292" s="116"/>
    </row>
    <row r="293" spans="1:10" ht="13.5" customHeight="1">
      <c r="A293" s="2"/>
      <c r="B293" s="116"/>
      <c r="C293" s="116"/>
      <c r="D293" s="116"/>
      <c r="E293" s="116"/>
      <c r="F293" s="116"/>
      <c r="G293" s="116"/>
      <c r="H293" s="116"/>
      <c r="I293" s="116"/>
      <c r="J293" s="116"/>
    </row>
    <row r="294" spans="1:10" ht="13.5" customHeight="1">
      <c r="A294" s="2"/>
      <c r="B294" s="116"/>
      <c r="C294" s="116"/>
      <c r="D294" s="116"/>
      <c r="E294" s="116"/>
      <c r="F294" s="116"/>
      <c r="G294" s="116"/>
      <c r="H294" s="116"/>
      <c r="I294" s="116"/>
      <c r="J294" s="116"/>
    </row>
    <row r="295" spans="1:10" ht="13.5" customHeight="1">
      <c r="A295" s="2"/>
      <c r="B295" s="116"/>
      <c r="C295" s="116"/>
      <c r="D295" s="116"/>
      <c r="E295" s="116"/>
      <c r="F295" s="116"/>
      <c r="G295" s="116"/>
      <c r="H295" s="116"/>
      <c r="I295" s="116"/>
      <c r="J295" s="116"/>
    </row>
    <row r="296" spans="1:10" ht="13.5" customHeight="1">
      <c r="A296" s="2"/>
      <c r="B296" s="116"/>
      <c r="C296" s="116"/>
      <c r="D296" s="116"/>
      <c r="E296" s="116"/>
      <c r="F296" s="116"/>
      <c r="G296" s="116"/>
      <c r="H296" s="116"/>
      <c r="I296" s="116"/>
      <c r="J296" s="116"/>
    </row>
    <row r="297" spans="1:10" ht="13.5" customHeight="1">
      <c r="A297" s="2"/>
      <c r="B297" s="116"/>
      <c r="C297" s="116"/>
      <c r="D297" s="116"/>
      <c r="E297" s="116"/>
      <c r="F297" s="116"/>
      <c r="G297" s="116"/>
      <c r="H297" s="116"/>
      <c r="I297" s="116"/>
      <c r="J297" s="116"/>
    </row>
    <row r="298" spans="1:10" ht="13.5" customHeight="1">
      <c r="A298" s="2"/>
      <c r="B298" s="116"/>
      <c r="C298" s="116"/>
      <c r="D298" s="116"/>
      <c r="E298" s="116"/>
      <c r="F298" s="116"/>
      <c r="G298" s="116"/>
      <c r="H298" s="116"/>
      <c r="I298" s="116"/>
      <c r="J298" s="116"/>
    </row>
    <row r="299" spans="1:10" ht="13.5" customHeight="1">
      <c r="A299" s="2"/>
      <c r="B299" s="116"/>
      <c r="C299" s="116"/>
      <c r="D299" s="116"/>
      <c r="E299" s="116"/>
      <c r="F299" s="116"/>
      <c r="G299" s="116"/>
      <c r="H299" s="116"/>
      <c r="I299" s="116"/>
      <c r="J299" s="116"/>
    </row>
    <row r="300" spans="1:10" ht="13.5" customHeight="1">
      <c r="A300" s="2"/>
      <c r="B300" s="116"/>
      <c r="C300" s="116"/>
      <c r="D300" s="116"/>
      <c r="E300" s="116"/>
      <c r="F300" s="116"/>
      <c r="G300" s="116"/>
      <c r="H300" s="116"/>
      <c r="I300" s="116"/>
      <c r="J300" s="116"/>
    </row>
    <row r="301" spans="1:10" ht="13.5" customHeight="1">
      <c r="A301" s="2"/>
      <c r="B301" s="116"/>
      <c r="C301" s="116"/>
      <c r="D301" s="116"/>
      <c r="E301" s="116"/>
      <c r="F301" s="116"/>
      <c r="G301" s="116"/>
      <c r="H301" s="116"/>
      <c r="I301" s="116"/>
      <c r="J301" s="116"/>
    </row>
    <row r="302" spans="1:10" ht="13.5" customHeight="1">
      <c r="A302" s="2"/>
      <c r="B302" s="116"/>
      <c r="C302" s="116"/>
      <c r="D302" s="116"/>
      <c r="E302" s="116"/>
      <c r="F302" s="116"/>
      <c r="G302" s="116"/>
      <c r="H302" s="116"/>
      <c r="I302" s="116"/>
      <c r="J302" s="116"/>
    </row>
    <row r="303" spans="1:10" ht="13.5" customHeight="1">
      <c r="A303" s="2"/>
      <c r="B303" s="116"/>
      <c r="C303" s="116"/>
      <c r="D303" s="116"/>
      <c r="E303" s="116"/>
      <c r="F303" s="116"/>
      <c r="G303" s="116"/>
      <c r="H303" s="116"/>
      <c r="I303" s="116"/>
      <c r="J303" s="116"/>
    </row>
    <row r="304" spans="1:10" ht="13.5" customHeight="1">
      <c r="A304" s="2"/>
      <c r="B304" s="116"/>
      <c r="C304" s="116"/>
      <c r="D304" s="116"/>
      <c r="E304" s="116"/>
      <c r="F304" s="116"/>
      <c r="G304" s="116"/>
      <c r="H304" s="116"/>
      <c r="I304" s="116"/>
      <c r="J304" s="116"/>
    </row>
    <row r="305" spans="1:10" ht="13.5" customHeight="1">
      <c r="A305" s="2"/>
      <c r="B305" s="116"/>
      <c r="C305" s="116"/>
      <c r="D305" s="116"/>
      <c r="E305" s="116"/>
      <c r="F305" s="116"/>
      <c r="G305" s="116"/>
      <c r="H305" s="116"/>
      <c r="I305" s="116"/>
      <c r="J305" s="116"/>
    </row>
    <row r="306" spans="1:10" ht="13.5" customHeight="1">
      <c r="A306" s="2"/>
      <c r="B306" s="116"/>
      <c r="C306" s="116"/>
      <c r="D306" s="116"/>
      <c r="E306" s="116"/>
      <c r="F306" s="116"/>
      <c r="G306" s="116"/>
      <c r="H306" s="116"/>
      <c r="I306" s="116"/>
      <c r="J306" s="116"/>
    </row>
    <row r="307" spans="1:10" ht="13.5" customHeight="1">
      <c r="A307" s="2"/>
      <c r="B307" s="116"/>
      <c r="C307" s="116"/>
      <c r="D307" s="116"/>
      <c r="E307" s="116"/>
      <c r="F307" s="116"/>
      <c r="G307" s="116"/>
      <c r="H307" s="116"/>
      <c r="I307" s="116"/>
      <c r="J307" s="116"/>
    </row>
    <row r="308" spans="1:10" ht="13.5" customHeight="1">
      <c r="A308" s="2"/>
      <c r="B308" s="116"/>
      <c r="C308" s="116"/>
      <c r="D308" s="116"/>
      <c r="E308" s="116"/>
      <c r="F308" s="116"/>
      <c r="G308" s="116"/>
      <c r="H308" s="116"/>
      <c r="I308" s="116"/>
      <c r="J308" s="116"/>
    </row>
    <row r="309" spans="1:10" ht="13.5" customHeight="1">
      <c r="A309" s="2"/>
      <c r="B309" s="116"/>
      <c r="C309" s="116"/>
      <c r="D309" s="116"/>
      <c r="E309" s="116"/>
      <c r="F309" s="116"/>
      <c r="G309" s="116"/>
      <c r="H309" s="116"/>
      <c r="I309" s="116"/>
      <c r="J309" s="116"/>
    </row>
    <row r="310" spans="1:10" ht="13.5" customHeight="1">
      <c r="A310" s="2"/>
      <c r="B310" s="116"/>
      <c r="C310" s="116"/>
      <c r="D310" s="116"/>
      <c r="E310" s="116"/>
      <c r="F310" s="116"/>
      <c r="G310" s="116"/>
      <c r="H310" s="116"/>
      <c r="I310" s="116"/>
      <c r="J310" s="116"/>
    </row>
    <row r="311" spans="1:10" ht="13.5" customHeight="1">
      <c r="A311" s="2"/>
      <c r="B311" s="116"/>
      <c r="C311" s="116"/>
      <c r="D311" s="116"/>
      <c r="E311" s="116"/>
      <c r="F311" s="116"/>
      <c r="G311" s="116"/>
      <c r="H311" s="116"/>
      <c r="I311" s="116"/>
      <c r="J311" s="116"/>
    </row>
    <row r="312" spans="1:10" ht="13.5" customHeight="1">
      <c r="A312" s="2"/>
      <c r="B312" s="116"/>
      <c r="C312" s="116"/>
      <c r="D312" s="116"/>
      <c r="E312" s="116"/>
      <c r="F312" s="116"/>
      <c r="G312" s="116"/>
      <c r="H312" s="116"/>
      <c r="I312" s="116"/>
      <c r="J312" s="116"/>
    </row>
    <row r="313" spans="1:10" ht="13.5" customHeight="1">
      <c r="A313" s="2"/>
      <c r="B313" s="116"/>
      <c r="C313" s="116"/>
      <c r="D313" s="116"/>
      <c r="E313" s="116"/>
      <c r="F313" s="116"/>
      <c r="G313" s="116"/>
      <c r="H313" s="116"/>
      <c r="I313" s="116"/>
      <c r="J313" s="116"/>
    </row>
    <row r="314" spans="1:10" ht="13.5" customHeight="1">
      <c r="A314" s="2"/>
      <c r="B314" s="116"/>
      <c r="C314" s="116"/>
      <c r="D314" s="116"/>
      <c r="E314" s="116"/>
      <c r="F314" s="116"/>
      <c r="G314" s="116"/>
      <c r="H314" s="116"/>
      <c r="I314" s="116"/>
      <c r="J314" s="116"/>
    </row>
    <row r="315" spans="1:10" ht="13.5" customHeight="1">
      <c r="A315" s="2"/>
      <c r="B315" s="116"/>
      <c r="C315" s="116"/>
      <c r="D315" s="116"/>
      <c r="E315" s="116"/>
      <c r="F315" s="116"/>
      <c r="G315" s="116"/>
      <c r="H315" s="116"/>
      <c r="I315" s="116"/>
      <c r="J315" s="116"/>
    </row>
    <row r="316" spans="1:10" ht="13.5" customHeight="1">
      <c r="A316" s="2"/>
      <c r="B316" s="116"/>
      <c r="C316" s="116"/>
      <c r="D316" s="116"/>
      <c r="E316" s="116"/>
      <c r="F316" s="116"/>
      <c r="G316" s="116"/>
      <c r="H316" s="116"/>
      <c r="I316" s="116"/>
      <c r="J316" s="116"/>
    </row>
    <row r="317" spans="1:10" ht="13.5" customHeight="1">
      <c r="A317" s="2"/>
      <c r="B317" s="116"/>
      <c r="C317" s="116"/>
      <c r="D317" s="116"/>
      <c r="E317" s="116"/>
      <c r="F317" s="116"/>
      <c r="G317" s="116"/>
      <c r="H317" s="116"/>
      <c r="I317" s="116"/>
      <c r="J317" s="116"/>
    </row>
    <row r="318" spans="1:10" ht="13.5" customHeight="1">
      <c r="A318" s="2"/>
      <c r="B318" s="116"/>
      <c r="C318" s="116"/>
      <c r="D318" s="116"/>
      <c r="E318" s="116"/>
      <c r="F318" s="116"/>
      <c r="G318" s="116"/>
      <c r="H318" s="116"/>
      <c r="I318" s="116"/>
      <c r="J318" s="116"/>
    </row>
    <row r="319" spans="1:10" ht="13.5" customHeight="1">
      <c r="A319" s="2"/>
      <c r="B319" s="116"/>
      <c r="C319" s="116"/>
      <c r="D319" s="116"/>
      <c r="E319" s="116"/>
      <c r="F319" s="116"/>
      <c r="G319" s="116"/>
      <c r="H319" s="116"/>
      <c r="I319" s="116"/>
      <c r="J319" s="116"/>
    </row>
    <row r="320" spans="1:10" ht="13.5" customHeight="1">
      <c r="A320" s="2"/>
      <c r="B320" s="116"/>
      <c r="C320" s="116"/>
      <c r="D320" s="116"/>
      <c r="E320" s="116"/>
      <c r="F320" s="116"/>
      <c r="G320" s="116"/>
      <c r="H320" s="116"/>
      <c r="I320" s="116"/>
      <c r="J320" s="116"/>
    </row>
    <row r="321" spans="1:10" ht="13.5" customHeight="1">
      <c r="A321" s="2"/>
      <c r="B321" s="116"/>
      <c r="C321" s="116"/>
      <c r="D321" s="116"/>
      <c r="E321" s="116"/>
      <c r="F321" s="116"/>
      <c r="G321" s="116"/>
      <c r="H321" s="116"/>
      <c r="I321" s="116"/>
      <c r="J321" s="116"/>
    </row>
    <row r="322" spans="1:10" ht="13.5" customHeight="1">
      <c r="A322" s="2"/>
      <c r="B322" s="116"/>
      <c r="C322" s="116"/>
      <c r="D322" s="116"/>
      <c r="E322" s="116"/>
      <c r="F322" s="116"/>
      <c r="G322" s="116"/>
      <c r="H322" s="116"/>
      <c r="I322" s="116"/>
      <c r="J322" s="116"/>
    </row>
    <row r="323" spans="1:10" ht="13.5" customHeight="1">
      <c r="A323" s="2"/>
      <c r="B323" s="116"/>
      <c r="C323" s="116"/>
      <c r="D323" s="116"/>
      <c r="E323" s="116"/>
      <c r="F323" s="116"/>
      <c r="G323" s="116"/>
      <c r="H323" s="116"/>
      <c r="I323" s="116"/>
      <c r="J323" s="116"/>
    </row>
    <row r="324" spans="1:10" ht="13.5" customHeight="1">
      <c r="A324" s="2"/>
      <c r="B324" s="116"/>
      <c r="C324" s="116"/>
      <c r="D324" s="116"/>
      <c r="E324" s="116"/>
      <c r="F324" s="116"/>
      <c r="G324" s="116"/>
      <c r="H324" s="116"/>
      <c r="I324" s="116"/>
      <c r="J324" s="116"/>
    </row>
    <row r="325" spans="1:10" ht="13.5" customHeight="1">
      <c r="A325" s="2"/>
      <c r="B325" s="116"/>
      <c r="C325" s="116"/>
      <c r="D325" s="116"/>
      <c r="E325" s="116"/>
      <c r="F325" s="116"/>
      <c r="G325" s="116"/>
      <c r="H325" s="116"/>
      <c r="I325" s="116"/>
      <c r="J325" s="116"/>
    </row>
    <row r="326" spans="1:10" ht="13.5" customHeight="1">
      <c r="A326" s="2"/>
      <c r="B326" s="116"/>
      <c r="C326" s="116"/>
      <c r="D326" s="116"/>
      <c r="E326" s="116"/>
      <c r="F326" s="116"/>
      <c r="G326" s="116"/>
      <c r="H326" s="116"/>
      <c r="I326" s="116"/>
      <c r="J326" s="116"/>
    </row>
    <row r="327" spans="1:10" ht="13.5" customHeight="1">
      <c r="A327" s="2"/>
      <c r="B327" s="116"/>
      <c r="C327" s="116"/>
      <c r="D327" s="116"/>
      <c r="E327" s="116"/>
      <c r="F327" s="116"/>
      <c r="G327" s="116"/>
      <c r="H327" s="116"/>
      <c r="I327" s="116"/>
      <c r="J327" s="116"/>
    </row>
    <row r="328" spans="1:10" ht="13.5" customHeight="1">
      <c r="A328" s="2"/>
      <c r="B328" s="116"/>
      <c r="C328" s="116"/>
      <c r="D328" s="116"/>
      <c r="E328" s="116"/>
      <c r="F328" s="116"/>
      <c r="G328" s="116"/>
      <c r="H328" s="116"/>
      <c r="I328" s="116"/>
      <c r="J328" s="116"/>
    </row>
    <row r="329" spans="1:10" ht="13.5" customHeight="1">
      <c r="A329" s="2"/>
      <c r="B329" s="116"/>
      <c r="C329" s="116"/>
      <c r="D329" s="116"/>
      <c r="E329" s="116"/>
      <c r="F329" s="116"/>
      <c r="G329" s="116"/>
      <c r="H329" s="116"/>
      <c r="I329" s="116"/>
      <c r="J329" s="116"/>
    </row>
    <row r="330" spans="1:10" ht="13.5" customHeight="1">
      <c r="A330" s="2"/>
      <c r="B330" s="116"/>
      <c r="C330" s="116"/>
      <c r="D330" s="116"/>
      <c r="E330" s="116"/>
      <c r="F330" s="116"/>
      <c r="G330" s="116"/>
      <c r="H330" s="116"/>
      <c r="I330" s="116"/>
      <c r="J330" s="116"/>
    </row>
    <row r="331" spans="1:10" ht="13.5" customHeight="1">
      <c r="A331" s="2"/>
      <c r="B331" s="116"/>
      <c r="C331" s="116"/>
      <c r="D331" s="116"/>
      <c r="E331" s="116"/>
      <c r="F331" s="116"/>
      <c r="G331" s="116"/>
      <c r="H331" s="116"/>
      <c r="I331" s="116"/>
      <c r="J331" s="116"/>
    </row>
    <row r="332" spans="1:10" ht="13.5" customHeight="1">
      <c r="A332" s="2"/>
      <c r="B332" s="116"/>
      <c r="C332" s="116"/>
      <c r="D332" s="116"/>
      <c r="E332" s="116"/>
      <c r="F332" s="116"/>
      <c r="G332" s="116"/>
      <c r="H332" s="116"/>
      <c r="I332" s="116"/>
      <c r="J332" s="116"/>
    </row>
    <row r="333" spans="1:10" ht="13.5" customHeight="1">
      <c r="A333" s="2"/>
      <c r="B333" s="116"/>
      <c r="C333" s="116"/>
      <c r="D333" s="116"/>
      <c r="E333" s="116"/>
      <c r="F333" s="116"/>
      <c r="G333" s="116"/>
      <c r="H333" s="116"/>
      <c r="I333" s="116"/>
      <c r="J333" s="116"/>
    </row>
    <row r="334" spans="1:10" ht="13.5" customHeight="1">
      <c r="A334" s="2"/>
      <c r="B334" s="116"/>
      <c r="C334" s="116"/>
      <c r="D334" s="116"/>
      <c r="E334" s="116"/>
      <c r="F334" s="116"/>
      <c r="G334" s="116"/>
      <c r="H334" s="116"/>
      <c r="I334" s="116"/>
      <c r="J334" s="116"/>
    </row>
    <row r="335" spans="1:10" ht="13.5" customHeight="1">
      <c r="A335" s="2"/>
      <c r="B335" s="116"/>
      <c r="C335" s="116"/>
      <c r="D335" s="116"/>
      <c r="E335" s="116"/>
      <c r="F335" s="116"/>
      <c r="G335" s="116"/>
      <c r="H335" s="116"/>
      <c r="I335" s="116"/>
      <c r="J335" s="116"/>
    </row>
    <row r="336" spans="1:10" ht="13.5" customHeight="1">
      <c r="A336" s="2"/>
      <c r="B336" s="116"/>
      <c r="C336" s="116"/>
      <c r="D336" s="116"/>
      <c r="E336" s="116"/>
      <c r="F336" s="116"/>
      <c r="G336" s="116"/>
      <c r="H336" s="116"/>
      <c r="I336" s="116"/>
      <c r="J336" s="116"/>
    </row>
    <row r="337" spans="1:10" ht="13.5" customHeight="1">
      <c r="A337" s="2"/>
      <c r="B337" s="116"/>
      <c r="C337" s="116"/>
      <c r="D337" s="116"/>
      <c r="E337" s="116"/>
      <c r="F337" s="116"/>
      <c r="G337" s="116"/>
      <c r="H337" s="116"/>
      <c r="I337" s="116"/>
      <c r="J337" s="116"/>
    </row>
    <row r="338" spans="1:10" ht="13.5" customHeight="1">
      <c r="A338" s="2"/>
      <c r="B338" s="116"/>
      <c r="C338" s="116"/>
      <c r="D338" s="116"/>
      <c r="E338" s="116"/>
      <c r="F338" s="116"/>
      <c r="G338" s="116"/>
      <c r="H338" s="116"/>
      <c r="I338" s="116"/>
      <c r="J338" s="116"/>
    </row>
    <row r="339" spans="1:10" ht="13.5" customHeight="1">
      <c r="A339" s="2"/>
      <c r="B339" s="116"/>
      <c r="C339" s="116"/>
      <c r="D339" s="116"/>
      <c r="E339" s="116"/>
      <c r="F339" s="116"/>
      <c r="G339" s="116"/>
      <c r="H339" s="116"/>
      <c r="I339" s="116"/>
      <c r="J339" s="116"/>
    </row>
    <row r="340" spans="1:10" ht="13.5" customHeight="1">
      <c r="A340" s="2"/>
      <c r="B340" s="116"/>
      <c r="C340" s="116"/>
      <c r="D340" s="116"/>
      <c r="E340" s="116"/>
      <c r="F340" s="116"/>
      <c r="G340" s="116"/>
      <c r="H340" s="116"/>
      <c r="I340" s="116"/>
      <c r="J340" s="116"/>
    </row>
    <row r="341" spans="1:10" ht="13.5" customHeight="1">
      <c r="A341" s="2"/>
      <c r="B341" s="116"/>
      <c r="C341" s="116"/>
      <c r="D341" s="116"/>
      <c r="E341" s="116"/>
      <c r="F341" s="116"/>
      <c r="G341" s="116"/>
      <c r="H341" s="116"/>
      <c r="I341" s="116"/>
      <c r="J341" s="116"/>
    </row>
    <row r="342" spans="1:10" ht="13.5" customHeight="1">
      <c r="A342" s="2"/>
      <c r="B342" s="116"/>
      <c r="C342" s="116"/>
      <c r="D342" s="116"/>
      <c r="E342" s="116"/>
      <c r="F342" s="116"/>
      <c r="G342" s="116"/>
      <c r="H342" s="116"/>
      <c r="I342" s="116"/>
      <c r="J342" s="116"/>
    </row>
    <row r="343" spans="1:10" ht="13.5" customHeight="1">
      <c r="A343" s="2"/>
      <c r="B343" s="116"/>
      <c r="C343" s="116"/>
      <c r="D343" s="116"/>
      <c r="E343" s="116"/>
      <c r="F343" s="116"/>
      <c r="G343" s="116"/>
      <c r="H343" s="116"/>
      <c r="I343" s="116"/>
      <c r="J343" s="116"/>
    </row>
    <row r="344" spans="1:10" ht="13.5" customHeight="1">
      <c r="A344" s="2"/>
      <c r="B344" s="116"/>
      <c r="C344" s="116"/>
      <c r="D344" s="116"/>
      <c r="E344" s="116"/>
      <c r="F344" s="116"/>
      <c r="G344" s="116"/>
      <c r="H344" s="116"/>
      <c r="I344" s="116"/>
      <c r="J344" s="116"/>
    </row>
    <row r="345" spans="1:10" ht="13.5" customHeight="1">
      <c r="A345" s="2"/>
      <c r="B345" s="116"/>
      <c r="C345" s="116"/>
      <c r="D345" s="116"/>
      <c r="E345" s="116"/>
      <c r="F345" s="116"/>
      <c r="G345" s="116"/>
      <c r="H345" s="116"/>
      <c r="I345" s="116"/>
      <c r="J345" s="116"/>
    </row>
    <row r="346" spans="1:10" ht="13.5" customHeight="1">
      <c r="A346" s="2"/>
      <c r="B346" s="116"/>
      <c r="C346" s="116"/>
      <c r="D346" s="116"/>
      <c r="E346" s="116"/>
      <c r="F346" s="116"/>
      <c r="G346" s="116"/>
      <c r="H346" s="116"/>
      <c r="I346" s="116"/>
      <c r="J346" s="116"/>
    </row>
    <row r="347" spans="1:10" ht="13.5" customHeight="1">
      <c r="A347" s="2"/>
      <c r="B347" s="116"/>
      <c r="C347" s="116"/>
      <c r="D347" s="116"/>
      <c r="E347" s="116"/>
      <c r="F347" s="116"/>
      <c r="G347" s="116"/>
      <c r="H347" s="116"/>
      <c r="I347" s="116"/>
      <c r="J347" s="116"/>
    </row>
    <row r="348" spans="1:10" ht="13.5" customHeight="1">
      <c r="A348" s="2"/>
      <c r="B348" s="116"/>
      <c r="C348" s="116"/>
      <c r="D348" s="116"/>
      <c r="E348" s="116"/>
      <c r="F348" s="116"/>
      <c r="G348" s="116"/>
      <c r="H348" s="116"/>
      <c r="I348" s="116"/>
      <c r="J348" s="116"/>
    </row>
    <row r="349" spans="1:10" ht="13.5" customHeight="1">
      <c r="A349" s="2"/>
      <c r="B349" s="116"/>
      <c r="C349" s="116"/>
      <c r="D349" s="116"/>
      <c r="E349" s="116"/>
      <c r="F349" s="116"/>
      <c r="G349" s="116"/>
      <c r="H349" s="116"/>
      <c r="I349" s="116"/>
      <c r="J349" s="116"/>
    </row>
    <row r="350" spans="1:10" ht="13.5" customHeight="1">
      <c r="A350" s="2"/>
      <c r="B350" s="116"/>
      <c r="C350" s="116"/>
      <c r="D350" s="116"/>
      <c r="E350" s="116"/>
      <c r="F350" s="116"/>
      <c r="G350" s="116"/>
      <c r="H350" s="116"/>
      <c r="I350" s="116"/>
      <c r="J350" s="116"/>
    </row>
    <row r="351" spans="1:10" ht="13.5" customHeight="1">
      <c r="A351" s="2"/>
      <c r="B351" s="116"/>
      <c r="C351" s="116"/>
      <c r="D351" s="116"/>
      <c r="E351" s="116"/>
      <c r="F351" s="116"/>
      <c r="G351" s="116"/>
      <c r="H351" s="116"/>
      <c r="I351" s="116"/>
      <c r="J351" s="116"/>
    </row>
    <row r="352" spans="1:10" ht="13.5" customHeight="1">
      <c r="A352" s="2"/>
      <c r="B352" s="116"/>
      <c r="C352" s="116"/>
      <c r="D352" s="116"/>
      <c r="E352" s="116"/>
      <c r="F352" s="116"/>
      <c r="G352" s="116"/>
      <c r="H352" s="116"/>
      <c r="I352" s="116"/>
      <c r="J352" s="116"/>
    </row>
    <row r="353" spans="1:10" ht="13.5" customHeight="1">
      <c r="A353" s="2"/>
      <c r="B353" s="116"/>
      <c r="C353" s="116"/>
      <c r="D353" s="116"/>
      <c r="E353" s="116"/>
      <c r="F353" s="116"/>
      <c r="G353" s="116"/>
      <c r="H353" s="116"/>
      <c r="I353" s="116"/>
      <c r="J353" s="116"/>
    </row>
    <row r="354" spans="1:10" ht="13.5" customHeight="1">
      <c r="A354" s="2"/>
      <c r="B354" s="116"/>
      <c r="C354" s="116"/>
      <c r="D354" s="116"/>
      <c r="E354" s="116"/>
      <c r="F354" s="116"/>
      <c r="G354" s="116"/>
      <c r="H354" s="116"/>
      <c r="I354" s="116"/>
      <c r="J354" s="116"/>
    </row>
    <row r="355" spans="1:10" ht="13.5" customHeight="1">
      <c r="A355" s="2"/>
      <c r="B355" s="116"/>
      <c r="C355" s="116"/>
      <c r="D355" s="116"/>
      <c r="E355" s="116"/>
      <c r="F355" s="116"/>
      <c r="G355" s="116"/>
      <c r="H355" s="116"/>
      <c r="I355" s="116"/>
      <c r="J355" s="116"/>
    </row>
    <row r="356" spans="1:10" ht="13.5" customHeight="1">
      <c r="A356" s="2"/>
      <c r="B356" s="116"/>
      <c r="C356" s="116"/>
      <c r="D356" s="116"/>
      <c r="E356" s="116"/>
      <c r="F356" s="116"/>
      <c r="G356" s="116"/>
      <c r="H356" s="116"/>
      <c r="I356" s="116"/>
      <c r="J356" s="116"/>
    </row>
    <row r="357" spans="1:10" ht="13.5" customHeight="1">
      <c r="A357" s="2"/>
      <c r="B357" s="116"/>
      <c r="C357" s="116"/>
      <c r="D357" s="116"/>
      <c r="E357" s="116"/>
      <c r="F357" s="116"/>
      <c r="G357" s="116"/>
      <c r="H357" s="116"/>
      <c r="I357" s="116"/>
      <c r="J357" s="116"/>
    </row>
    <row r="358" spans="1:10" ht="13.5" customHeight="1">
      <c r="A358" s="2"/>
      <c r="B358" s="116"/>
      <c r="C358" s="116"/>
      <c r="D358" s="116"/>
      <c r="E358" s="116"/>
      <c r="F358" s="116"/>
      <c r="G358" s="116"/>
      <c r="H358" s="116"/>
      <c r="I358" s="116"/>
      <c r="J358" s="116"/>
    </row>
    <row r="359" spans="1:10" ht="13.5" customHeight="1">
      <c r="A359" s="2"/>
      <c r="B359" s="116"/>
      <c r="C359" s="116"/>
      <c r="D359" s="116"/>
      <c r="E359" s="116"/>
      <c r="F359" s="116"/>
      <c r="G359" s="116"/>
      <c r="H359" s="116"/>
      <c r="I359" s="116"/>
      <c r="J359" s="116"/>
    </row>
    <row r="360" spans="1:10" ht="13.5" customHeight="1">
      <c r="A360" s="2"/>
      <c r="B360" s="116"/>
      <c r="C360" s="116"/>
      <c r="D360" s="116"/>
      <c r="E360" s="116"/>
      <c r="F360" s="116"/>
      <c r="G360" s="116"/>
      <c r="H360" s="116"/>
      <c r="I360" s="116"/>
      <c r="J360" s="116"/>
    </row>
    <row r="361" spans="1:10" ht="13.5" customHeight="1">
      <c r="A361" s="2"/>
      <c r="B361" s="116"/>
      <c r="C361" s="116"/>
      <c r="D361" s="116"/>
      <c r="E361" s="116"/>
      <c r="F361" s="116"/>
      <c r="G361" s="116"/>
      <c r="H361" s="116"/>
      <c r="I361" s="116"/>
      <c r="J361" s="116"/>
    </row>
    <row r="362" spans="1:10" ht="13.5" customHeight="1">
      <c r="A362" s="2"/>
      <c r="B362" s="116"/>
      <c r="C362" s="116"/>
      <c r="D362" s="116"/>
      <c r="E362" s="116"/>
      <c r="F362" s="116"/>
      <c r="G362" s="116"/>
      <c r="H362" s="116"/>
      <c r="I362" s="116"/>
      <c r="J362" s="116"/>
    </row>
    <row r="363" spans="1:10" ht="13.5" customHeight="1">
      <c r="A363" s="2"/>
      <c r="B363" s="116"/>
      <c r="C363" s="116"/>
      <c r="D363" s="116"/>
      <c r="E363" s="116"/>
      <c r="F363" s="116"/>
      <c r="G363" s="116"/>
      <c r="H363" s="116"/>
      <c r="I363" s="116"/>
      <c r="J363" s="116"/>
    </row>
    <row r="364" spans="1:10" ht="13.5" customHeight="1">
      <c r="A364" s="2"/>
      <c r="B364" s="116"/>
      <c r="C364" s="116"/>
      <c r="D364" s="116"/>
      <c r="E364" s="116"/>
      <c r="F364" s="116"/>
      <c r="G364" s="116"/>
      <c r="H364" s="116"/>
      <c r="I364" s="116"/>
      <c r="J364" s="116"/>
    </row>
    <row r="365" spans="1:10" ht="13.5" customHeight="1">
      <c r="A365" s="2"/>
      <c r="B365" s="116"/>
      <c r="C365" s="116"/>
      <c r="D365" s="116"/>
      <c r="E365" s="116"/>
      <c r="F365" s="116"/>
      <c r="G365" s="116"/>
      <c r="H365" s="116"/>
      <c r="I365" s="116"/>
      <c r="J365" s="116"/>
    </row>
    <row r="366" spans="1:10" ht="13.5" customHeight="1">
      <c r="A366" s="2"/>
      <c r="B366" s="116"/>
      <c r="C366" s="116"/>
      <c r="D366" s="116"/>
      <c r="E366" s="116"/>
      <c r="F366" s="116"/>
      <c r="G366" s="116"/>
      <c r="H366" s="116"/>
      <c r="I366" s="116"/>
      <c r="J366" s="116"/>
    </row>
    <row r="367" spans="1:10" ht="13.5" customHeight="1">
      <c r="A367" s="2"/>
      <c r="B367" s="116"/>
      <c r="C367" s="116"/>
      <c r="D367" s="116"/>
      <c r="E367" s="116"/>
      <c r="F367" s="116"/>
      <c r="G367" s="116"/>
      <c r="H367" s="116"/>
      <c r="I367" s="116"/>
      <c r="J367" s="116"/>
    </row>
    <row r="368" spans="1:10" ht="13.5" customHeight="1">
      <c r="A368" s="2"/>
      <c r="B368" s="116"/>
      <c r="C368" s="116"/>
      <c r="D368" s="116"/>
      <c r="E368" s="116"/>
      <c r="F368" s="116"/>
      <c r="G368" s="116"/>
      <c r="H368" s="116"/>
      <c r="I368" s="116"/>
      <c r="J368" s="116"/>
    </row>
    <row r="369" spans="1:10" ht="13.5" customHeight="1">
      <c r="A369" s="2"/>
      <c r="B369" s="116"/>
      <c r="C369" s="116"/>
      <c r="D369" s="116"/>
      <c r="E369" s="116"/>
      <c r="F369" s="116"/>
      <c r="G369" s="116"/>
      <c r="H369" s="116"/>
      <c r="I369" s="116"/>
      <c r="J369" s="116"/>
    </row>
    <row r="370" spans="1:10" ht="13.5" customHeight="1">
      <c r="A370" s="2"/>
      <c r="B370" s="116"/>
      <c r="C370" s="116"/>
      <c r="D370" s="116"/>
      <c r="E370" s="116"/>
      <c r="F370" s="116"/>
      <c r="G370" s="116"/>
      <c r="H370" s="116"/>
      <c r="I370" s="116"/>
      <c r="J370" s="116"/>
    </row>
    <row r="371" spans="1:10" ht="13.5" customHeight="1">
      <c r="A371" s="2"/>
      <c r="B371" s="116"/>
      <c r="C371" s="116"/>
      <c r="D371" s="116"/>
      <c r="E371" s="116"/>
      <c r="F371" s="116"/>
      <c r="G371" s="116"/>
      <c r="H371" s="116"/>
      <c r="I371" s="116"/>
      <c r="J371" s="116"/>
    </row>
    <row r="372" spans="1:10" ht="13.5" customHeight="1">
      <c r="A372" s="2"/>
      <c r="B372" s="116"/>
      <c r="C372" s="116"/>
      <c r="D372" s="116"/>
      <c r="E372" s="116"/>
      <c r="F372" s="116"/>
      <c r="G372" s="116"/>
      <c r="H372" s="116"/>
      <c r="I372" s="116"/>
      <c r="J372" s="116"/>
    </row>
    <row r="373" spans="1:10" ht="13.5" customHeight="1">
      <c r="A373" s="2"/>
      <c r="B373" s="116"/>
      <c r="C373" s="116"/>
      <c r="D373" s="116"/>
      <c r="E373" s="116"/>
      <c r="F373" s="116"/>
      <c r="G373" s="116"/>
      <c r="H373" s="116"/>
      <c r="I373" s="116"/>
      <c r="J373" s="116"/>
    </row>
    <row r="374" spans="1:10" ht="13.5" customHeight="1">
      <c r="A374" s="2"/>
      <c r="B374" s="116"/>
      <c r="C374" s="116"/>
      <c r="D374" s="116"/>
      <c r="E374" s="116"/>
      <c r="F374" s="116"/>
      <c r="G374" s="116"/>
      <c r="H374" s="116"/>
      <c r="I374" s="116"/>
      <c r="J374" s="116"/>
    </row>
    <row r="375" spans="1:10" ht="13.5" customHeight="1">
      <c r="A375" s="2"/>
      <c r="B375" s="116"/>
      <c r="C375" s="116"/>
      <c r="D375" s="116"/>
      <c r="E375" s="116"/>
      <c r="F375" s="116"/>
      <c r="G375" s="116"/>
      <c r="H375" s="116"/>
      <c r="I375" s="116"/>
      <c r="J375" s="116"/>
    </row>
    <row r="376" spans="1:10" ht="13.5" customHeight="1">
      <c r="A376" s="2"/>
      <c r="B376" s="116"/>
      <c r="C376" s="116"/>
      <c r="D376" s="116"/>
      <c r="E376" s="116"/>
      <c r="F376" s="116"/>
      <c r="G376" s="116"/>
      <c r="H376" s="116"/>
      <c r="I376" s="116"/>
      <c r="J376" s="116"/>
    </row>
    <row r="377" spans="1:10" ht="13.5" customHeight="1">
      <c r="A377" s="2"/>
      <c r="B377" s="116"/>
      <c r="C377" s="116"/>
      <c r="D377" s="116"/>
      <c r="E377" s="116"/>
      <c r="F377" s="116"/>
      <c r="G377" s="116"/>
      <c r="H377" s="116"/>
      <c r="I377" s="116"/>
      <c r="J377" s="116"/>
    </row>
    <row r="378" spans="1:10" ht="13.5" customHeight="1">
      <c r="A378" s="2"/>
      <c r="B378" s="116"/>
      <c r="C378" s="116"/>
      <c r="D378" s="116"/>
      <c r="E378" s="116"/>
      <c r="F378" s="116"/>
      <c r="G378" s="116"/>
      <c r="H378" s="116"/>
      <c r="I378" s="116"/>
      <c r="J378" s="116"/>
    </row>
    <row r="379" spans="1:10" ht="13.5" customHeight="1">
      <c r="A379" s="2"/>
      <c r="B379" s="116"/>
      <c r="C379" s="116"/>
      <c r="D379" s="116"/>
      <c r="E379" s="116"/>
      <c r="F379" s="116"/>
      <c r="G379" s="116"/>
      <c r="H379" s="116"/>
      <c r="I379" s="116"/>
      <c r="J379" s="116"/>
    </row>
    <row r="380" spans="1:10" ht="13.5" customHeight="1">
      <c r="A380" s="2"/>
      <c r="B380" s="116"/>
      <c r="C380" s="116"/>
      <c r="D380" s="116"/>
      <c r="E380" s="116"/>
      <c r="F380" s="116"/>
      <c r="G380" s="116"/>
      <c r="H380" s="116"/>
      <c r="I380" s="116"/>
      <c r="J380" s="116"/>
    </row>
    <row r="381" spans="1:10" ht="13.5" customHeight="1">
      <c r="A381" s="2"/>
      <c r="B381" s="116"/>
      <c r="C381" s="116"/>
      <c r="D381" s="116"/>
      <c r="E381" s="116"/>
      <c r="F381" s="116"/>
      <c r="G381" s="116"/>
      <c r="H381" s="116"/>
      <c r="I381" s="116"/>
      <c r="J381" s="116"/>
    </row>
    <row r="382" spans="1:10" ht="13.5" customHeight="1">
      <c r="A382" s="2"/>
      <c r="B382" s="116"/>
      <c r="C382" s="116"/>
      <c r="D382" s="116"/>
      <c r="E382" s="116"/>
      <c r="F382" s="116"/>
      <c r="G382" s="116"/>
      <c r="H382" s="116"/>
      <c r="I382" s="116"/>
      <c r="J382" s="116"/>
    </row>
    <row r="383" spans="1:10" ht="13.5" customHeight="1">
      <c r="A383" s="2"/>
      <c r="B383" s="116"/>
      <c r="C383" s="116"/>
      <c r="D383" s="116"/>
      <c r="E383" s="116"/>
      <c r="F383" s="116"/>
      <c r="G383" s="116"/>
      <c r="H383" s="116"/>
      <c r="I383" s="116"/>
      <c r="J383" s="116"/>
    </row>
    <row r="384" spans="1:10" ht="13.5" customHeight="1">
      <c r="A384" s="2"/>
      <c r="B384" s="116"/>
      <c r="C384" s="116"/>
      <c r="D384" s="116"/>
      <c r="E384" s="116"/>
      <c r="F384" s="116"/>
      <c r="G384" s="116"/>
      <c r="H384" s="116"/>
      <c r="I384" s="116"/>
      <c r="J384" s="116"/>
    </row>
    <row r="385" spans="1:10" ht="13.5" customHeight="1">
      <c r="A385" s="2"/>
      <c r="B385" s="116"/>
      <c r="C385" s="116"/>
      <c r="D385" s="116"/>
      <c r="E385" s="116"/>
      <c r="F385" s="116"/>
      <c r="G385" s="116"/>
      <c r="H385" s="116"/>
      <c r="I385" s="116"/>
      <c r="J385" s="116"/>
    </row>
    <row r="386" spans="1:10" ht="13.5" customHeight="1">
      <c r="A386" s="2"/>
      <c r="B386" s="116"/>
      <c r="C386" s="116"/>
      <c r="D386" s="116"/>
      <c r="E386" s="116"/>
      <c r="F386" s="116"/>
      <c r="G386" s="116"/>
      <c r="H386" s="116"/>
      <c r="I386" s="116"/>
      <c r="J386" s="116"/>
    </row>
    <row r="387" spans="1:10" ht="13.5" customHeight="1">
      <c r="A387" s="2"/>
      <c r="B387" s="116"/>
      <c r="C387" s="116"/>
      <c r="D387" s="116"/>
      <c r="E387" s="116"/>
      <c r="F387" s="116"/>
      <c r="G387" s="116"/>
      <c r="H387" s="116"/>
      <c r="I387" s="116"/>
      <c r="J387" s="116"/>
    </row>
    <row r="388" spans="1:10" ht="13.5" customHeight="1">
      <c r="A388" s="2"/>
      <c r="B388" s="116"/>
      <c r="C388" s="116"/>
      <c r="D388" s="116"/>
      <c r="E388" s="116"/>
      <c r="F388" s="116"/>
      <c r="G388" s="116"/>
      <c r="H388" s="116"/>
      <c r="I388" s="116"/>
      <c r="J388" s="116"/>
    </row>
    <row r="389" spans="1:10" ht="13.5" customHeight="1">
      <c r="A389" s="2"/>
      <c r="B389" s="116"/>
      <c r="C389" s="116"/>
      <c r="D389" s="116"/>
      <c r="E389" s="116"/>
      <c r="F389" s="116"/>
      <c r="G389" s="116"/>
      <c r="H389" s="116"/>
      <c r="I389" s="116"/>
      <c r="J389" s="116"/>
    </row>
    <row r="390" spans="1:10" ht="13.5" customHeight="1">
      <c r="A390" s="2"/>
      <c r="B390" s="116"/>
      <c r="C390" s="116"/>
      <c r="D390" s="116"/>
      <c r="E390" s="116"/>
      <c r="F390" s="116"/>
      <c r="G390" s="116"/>
      <c r="H390" s="116"/>
      <c r="I390" s="116"/>
      <c r="J390" s="116"/>
    </row>
    <row r="391" spans="1:10" ht="13.5" customHeight="1">
      <c r="A391" s="2"/>
      <c r="B391" s="116"/>
      <c r="C391" s="116"/>
      <c r="D391" s="116"/>
      <c r="E391" s="116"/>
      <c r="F391" s="116"/>
      <c r="G391" s="116"/>
      <c r="H391" s="116"/>
      <c r="I391" s="116"/>
      <c r="J391" s="116"/>
    </row>
    <row r="392" spans="1:10" ht="13.5" customHeight="1">
      <c r="A392" s="2"/>
      <c r="B392" s="116"/>
      <c r="C392" s="116"/>
      <c r="D392" s="116"/>
      <c r="E392" s="116"/>
      <c r="F392" s="116"/>
      <c r="G392" s="116"/>
      <c r="H392" s="116"/>
      <c r="I392" s="116"/>
      <c r="J392" s="116"/>
    </row>
    <row r="393" spans="1:10" ht="13.5" customHeight="1">
      <c r="A393" s="2"/>
      <c r="B393" s="116"/>
      <c r="C393" s="116"/>
      <c r="D393" s="116"/>
      <c r="E393" s="116"/>
      <c r="F393" s="116"/>
      <c r="G393" s="116"/>
      <c r="H393" s="116"/>
      <c r="I393" s="116"/>
      <c r="J393" s="116"/>
    </row>
    <row r="394" spans="1:10" ht="13.5" customHeight="1">
      <c r="A394" s="2"/>
      <c r="B394" s="116"/>
      <c r="C394" s="116"/>
      <c r="D394" s="116"/>
      <c r="E394" s="116"/>
      <c r="F394" s="116"/>
      <c r="G394" s="116"/>
      <c r="H394" s="116"/>
      <c r="I394" s="116"/>
      <c r="J394" s="116"/>
    </row>
    <row r="395" spans="1:10" ht="13.5" customHeight="1">
      <c r="A395" s="2"/>
      <c r="B395" s="116"/>
      <c r="C395" s="116"/>
      <c r="D395" s="116"/>
      <c r="E395" s="116"/>
      <c r="F395" s="116"/>
      <c r="G395" s="116"/>
      <c r="H395" s="116"/>
      <c r="I395" s="116"/>
      <c r="J395" s="116"/>
    </row>
    <row r="396" spans="1:10" ht="13.5" customHeight="1">
      <c r="A396" s="2"/>
      <c r="B396" s="116"/>
      <c r="C396" s="116"/>
      <c r="D396" s="116"/>
      <c r="E396" s="116"/>
      <c r="F396" s="116"/>
      <c r="G396" s="116"/>
      <c r="H396" s="116"/>
      <c r="I396" s="116"/>
      <c r="J396" s="116"/>
    </row>
    <row r="397" spans="1:10" ht="13.5" customHeight="1">
      <c r="A397" s="2"/>
      <c r="B397" s="116"/>
      <c r="C397" s="116"/>
      <c r="D397" s="116"/>
      <c r="E397" s="116"/>
      <c r="F397" s="116"/>
      <c r="G397" s="116"/>
      <c r="H397" s="116"/>
      <c r="I397" s="116"/>
      <c r="J397" s="116"/>
    </row>
    <row r="398" spans="1:10" ht="13.5" customHeight="1">
      <c r="A398" s="2"/>
      <c r="B398" s="116"/>
      <c r="C398" s="116"/>
      <c r="D398" s="116"/>
      <c r="E398" s="116"/>
      <c r="F398" s="116"/>
      <c r="G398" s="116"/>
      <c r="H398" s="116"/>
      <c r="I398" s="116"/>
      <c r="J398" s="116"/>
    </row>
    <row r="399" spans="1:10" ht="13.5" customHeight="1">
      <c r="A399" s="2"/>
      <c r="B399" s="116"/>
      <c r="C399" s="116"/>
      <c r="D399" s="116"/>
      <c r="E399" s="116"/>
      <c r="F399" s="116"/>
      <c r="G399" s="116"/>
      <c r="H399" s="116"/>
      <c r="I399" s="116"/>
      <c r="J399" s="116"/>
    </row>
    <row r="400" spans="1:10" ht="13.5" customHeight="1">
      <c r="A400" s="2"/>
      <c r="B400" s="116"/>
      <c r="C400" s="116"/>
      <c r="D400" s="116"/>
      <c r="E400" s="116"/>
      <c r="F400" s="116"/>
      <c r="G400" s="116"/>
      <c r="H400" s="116"/>
      <c r="I400" s="116"/>
      <c r="J400" s="116"/>
    </row>
    <row r="401" spans="1:10" ht="13.5" customHeight="1">
      <c r="A401" s="2"/>
      <c r="B401" s="116"/>
      <c r="C401" s="116"/>
      <c r="D401" s="116"/>
      <c r="E401" s="116"/>
      <c r="F401" s="116"/>
      <c r="G401" s="116"/>
      <c r="H401" s="116"/>
      <c r="I401" s="116"/>
      <c r="J401" s="116"/>
    </row>
    <row r="402" spans="1:10" ht="13.5" customHeight="1">
      <c r="A402" s="2"/>
      <c r="B402" s="116"/>
      <c r="C402" s="116"/>
      <c r="D402" s="116"/>
      <c r="E402" s="116"/>
      <c r="F402" s="116"/>
      <c r="G402" s="116"/>
      <c r="H402" s="116"/>
      <c r="I402" s="116"/>
      <c r="J402" s="116"/>
    </row>
    <row r="403" spans="1:10" ht="13.5" customHeight="1">
      <c r="A403" s="2"/>
      <c r="B403" s="116"/>
      <c r="C403" s="116"/>
      <c r="D403" s="116"/>
      <c r="E403" s="116"/>
      <c r="F403" s="116"/>
      <c r="G403" s="116"/>
      <c r="H403" s="116"/>
      <c r="I403" s="116"/>
      <c r="J403" s="116"/>
    </row>
    <row r="404" spans="1:10" ht="13.5" customHeight="1">
      <c r="A404" s="2"/>
      <c r="B404" s="116"/>
      <c r="C404" s="116"/>
      <c r="D404" s="116"/>
      <c r="E404" s="116"/>
      <c r="F404" s="116"/>
      <c r="G404" s="116"/>
      <c r="H404" s="116"/>
      <c r="I404" s="116"/>
      <c r="J404" s="116"/>
    </row>
    <row r="405" spans="1:10" ht="13.5" customHeight="1">
      <c r="A405" s="2"/>
      <c r="B405" s="116"/>
      <c r="C405" s="116"/>
      <c r="D405" s="116"/>
      <c r="E405" s="116"/>
      <c r="F405" s="116"/>
      <c r="G405" s="116"/>
      <c r="H405" s="116"/>
      <c r="I405" s="116"/>
      <c r="J405" s="116"/>
    </row>
    <row r="406" spans="1:10" ht="13.5" customHeight="1">
      <c r="A406" s="2"/>
      <c r="B406" s="116"/>
      <c r="C406" s="116"/>
      <c r="D406" s="116"/>
      <c r="E406" s="116"/>
      <c r="F406" s="116"/>
      <c r="G406" s="116"/>
      <c r="H406" s="116"/>
      <c r="I406" s="116"/>
      <c r="J406" s="116"/>
    </row>
    <row r="407" spans="1:10" ht="13.5" customHeight="1">
      <c r="A407" s="2"/>
      <c r="B407" s="116"/>
      <c r="C407" s="116"/>
      <c r="D407" s="116"/>
      <c r="E407" s="116"/>
      <c r="F407" s="116"/>
      <c r="G407" s="116"/>
      <c r="H407" s="116"/>
      <c r="I407" s="116"/>
      <c r="J407" s="116"/>
    </row>
    <row r="408" spans="1:10" ht="13.5" customHeight="1">
      <c r="A408" s="2"/>
      <c r="B408" s="116"/>
      <c r="C408" s="116"/>
      <c r="D408" s="116"/>
      <c r="E408" s="116"/>
      <c r="F408" s="116"/>
      <c r="G408" s="116"/>
      <c r="H408" s="116"/>
      <c r="I408" s="116"/>
      <c r="J408" s="116"/>
    </row>
    <row r="409" spans="1:10" ht="13.5" customHeight="1">
      <c r="A409" s="2"/>
      <c r="B409" s="116"/>
      <c r="C409" s="116"/>
      <c r="D409" s="116"/>
      <c r="E409" s="116"/>
      <c r="F409" s="116"/>
      <c r="G409" s="116"/>
      <c r="H409" s="116"/>
      <c r="I409" s="116"/>
      <c r="J409" s="116"/>
    </row>
    <row r="410" spans="1:10" ht="13.5" customHeight="1">
      <c r="A410" s="2"/>
      <c r="B410" s="116"/>
      <c r="C410" s="116"/>
      <c r="D410" s="116"/>
      <c r="E410" s="116"/>
      <c r="F410" s="116"/>
      <c r="G410" s="116"/>
      <c r="H410" s="116"/>
      <c r="I410" s="116"/>
      <c r="J410" s="116"/>
    </row>
    <row r="411" spans="1:10" ht="13.5" customHeight="1">
      <c r="A411" s="2"/>
      <c r="B411" s="116"/>
      <c r="C411" s="116"/>
      <c r="D411" s="116"/>
      <c r="E411" s="116"/>
      <c r="F411" s="116"/>
      <c r="G411" s="116"/>
      <c r="H411" s="116"/>
      <c r="I411" s="116"/>
      <c r="J411" s="116"/>
    </row>
    <row r="412" spans="1:10" ht="13.5" customHeight="1">
      <c r="A412" s="2"/>
      <c r="B412" s="116"/>
      <c r="C412" s="116"/>
      <c r="D412" s="116"/>
      <c r="E412" s="116"/>
      <c r="F412" s="116"/>
      <c r="G412" s="116"/>
      <c r="H412" s="116"/>
      <c r="I412" s="116"/>
      <c r="J412" s="116"/>
    </row>
    <row r="413" spans="1:10" ht="13.5" customHeight="1">
      <c r="A413" s="2"/>
      <c r="B413" s="116"/>
      <c r="C413" s="116"/>
      <c r="D413" s="116"/>
      <c r="E413" s="116"/>
      <c r="F413" s="116"/>
      <c r="G413" s="116"/>
      <c r="H413" s="116"/>
      <c r="I413" s="116"/>
      <c r="J413" s="116"/>
    </row>
    <row r="414" spans="1:10" ht="13.5" customHeight="1">
      <c r="A414" s="2"/>
      <c r="B414" s="116"/>
      <c r="C414" s="116"/>
      <c r="D414" s="116"/>
      <c r="E414" s="116"/>
      <c r="F414" s="116"/>
      <c r="G414" s="116"/>
      <c r="H414" s="116"/>
      <c r="I414" s="116"/>
      <c r="J414" s="116"/>
    </row>
    <row r="415" spans="1:10" ht="13.5" customHeight="1">
      <c r="A415" s="2"/>
      <c r="B415" s="116"/>
      <c r="C415" s="116"/>
      <c r="D415" s="116"/>
      <c r="E415" s="116"/>
      <c r="F415" s="116"/>
      <c r="G415" s="116"/>
      <c r="H415" s="116"/>
      <c r="I415" s="116"/>
      <c r="J415" s="116"/>
    </row>
    <row r="416" spans="1:10" ht="13.5" customHeight="1">
      <c r="A416" s="2"/>
      <c r="B416" s="116"/>
      <c r="C416" s="116"/>
      <c r="D416" s="116"/>
      <c r="E416" s="116"/>
      <c r="F416" s="116"/>
      <c r="G416" s="116"/>
      <c r="H416" s="116"/>
      <c r="I416" s="116"/>
      <c r="J416" s="116"/>
    </row>
    <row r="417" spans="1:10" ht="13.5" customHeight="1">
      <c r="A417" s="2"/>
      <c r="B417" s="116"/>
      <c r="C417" s="116"/>
      <c r="D417" s="116"/>
      <c r="E417" s="116"/>
      <c r="F417" s="116"/>
      <c r="G417" s="116"/>
      <c r="H417" s="116"/>
      <c r="I417" s="116"/>
      <c r="J417" s="116"/>
    </row>
    <row r="418" spans="1:10" ht="13.5" customHeight="1">
      <c r="A418" s="2"/>
      <c r="B418" s="116"/>
      <c r="C418" s="116"/>
      <c r="D418" s="116"/>
      <c r="E418" s="116"/>
      <c r="F418" s="116"/>
      <c r="G418" s="116"/>
      <c r="H418" s="116"/>
      <c r="I418" s="116"/>
      <c r="J418" s="116"/>
    </row>
    <row r="419" spans="1:10" ht="13.5" customHeight="1">
      <c r="A419" s="2"/>
      <c r="B419" s="116"/>
      <c r="C419" s="116"/>
      <c r="D419" s="116"/>
      <c r="E419" s="116"/>
      <c r="F419" s="116"/>
      <c r="G419" s="116"/>
      <c r="H419" s="116"/>
      <c r="I419" s="116"/>
      <c r="J419" s="116"/>
    </row>
    <row r="420" spans="1:10" ht="13.5" customHeight="1">
      <c r="A420" s="2"/>
      <c r="B420" s="116"/>
      <c r="C420" s="116"/>
      <c r="D420" s="116"/>
      <c r="E420" s="116"/>
      <c r="F420" s="116"/>
      <c r="G420" s="116"/>
      <c r="H420" s="116"/>
      <c r="I420" s="116"/>
      <c r="J420" s="116"/>
    </row>
    <row r="421" spans="1:10" ht="13.5" customHeight="1">
      <c r="A421" s="2"/>
      <c r="B421" s="116"/>
      <c r="C421" s="116"/>
      <c r="D421" s="116"/>
      <c r="E421" s="116"/>
      <c r="F421" s="116"/>
      <c r="G421" s="116"/>
      <c r="H421" s="116"/>
      <c r="I421" s="116"/>
      <c r="J421" s="116"/>
    </row>
    <row r="422" spans="1:10" ht="13.5" customHeight="1">
      <c r="A422" s="2"/>
      <c r="B422" s="116"/>
      <c r="C422" s="116"/>
      <c r="D422" s="116"/>
      <c r="E422" s="116"/>
      <c r="F422" s="116"/>
      <c r="G422" s="116"/>
      <c r="H422" s="116"/>
      <c r="I422" s="116"/>
      <c r="J422" s="116"/>
    </row>
    <row r="423" spans="1:10" ht="13.5" customHeight="1">
      <c r="A423" s="2"/>
      <c r="B423" s="116"/>
      <c r="C423" s="116"/>
      <c r="D423" s="116"/>
      <c r="E423" s="116"/>
      <c r="F423" s="116"/>
      <c r="G423" s="116"/>
      <c r="H423" s="116"/>
      <c r="I423" s="116"/>
      <c r="J423" s="116"/>
    </row>
    <row r="424" spans="1:10" ht="13.5" customHeight="1">
      <c r="A424" s="2"/>
      <c r="B424" s="116"/>
      <c r="C424" s="116"/>
      <c r="D424" s="116"/>
      <c r="E424" s="116"/>
      <c r="F424" s="116"/>
      <c r="G424" s="116"/>
      <c r="H424" s="116"/>
      <c r="I424" s="116"/>
      <c r="J424" s="116"/>
    </row>
    <row r="425" spans="1:10" ht="13.5" customHeight="1">
      <c r="A425" s="2"/>
      <c r="B425" s="116"/>
      <c r="C425" s="116"/>
      <c r="D425" s="116"/>
      <c r="E425" s="116"/>
      <c r="F425" s="116"/>
      <c r="G425" s="116"/>
      <c r="H425" s="116"/>
      <c r="I425" s="116"/>
      <c r="J425" s="116"/>
    </row>
    <row r="426" spans="1:10" ht="13.5" customHeight="1">
      <c r="A426" s="2"/>
      <c r="B426" s="116"/>
      <c r="C426" s="116"/>
      <c r="D426" s="116"/>
      <c r="E426" s="116"/>
      <c r="F426" s="116"/>
      <c r="G426" s="116"/>
      <c r="H426" s="116"/>
      <c r="I426" s="116"/>
      <c r="J426" s="116"/>
    </row>
    <row r="427" spans="1:10" ht="13.5" customHeight="1">
      <c r="A427" s="2"/>
      <c r="B427" s="116"/>
      <c r="C427" s="116"/>
      <c r="D427" s="116"/>
      <c r="E427" s="116"/>
      <c r="F427" s="116"/>
      <c r="G427" s="116"/>
      <c r="H427" s="116"/>
      <c r="I427" s="116"/>
      <c r="J427" s="116"/>
    </row>
    <row r="428" spans="1:10" ht="13.5" customHeight="1">
      <c r="A428" s="2"/>
      <c r="B428" s="116"/>
      <c r="C428" s="116"/>
      <c r="D428" s="116"/>
      <c r="E428" s="116"/>
      <c r="F428" s="116"/>
      <c r="G428" s="116"/>
      <c r="H428" s="116"/>
      <c r="I428" s="116"/>
      <c r="J428" s="116"/>
    </row>
    <row r="429" spans="1:10" ht="13.5" customHeight="1">
      <c r="A429" s="2"/>
      <c r="B429" s="116"/>
      <c r="C429" s="116"/>
      <c r="D429" s="116"/>
      <c r="E429" s="116"/>
      <c r="F429" s="116"/>
      <c r="G429" s="116"/>
      <c r="H429" s="116"/>
      <c r="I429" s="116"/>
      <c r="J429" s="116"/>
    </row>
    <row r="430" spans="1:10" ht="13.5" customHeight="1">
      <c r="A430" s="2"/>
      <c r="B430" s="116"/>
      <c r="C430" s="116"/>
      <c r="D430" s="116"/>
      <c r="E430" s="116"/>
      <c r="F430" s="116"/>
      <c r="G430" s="116"/>
      <c r="H430" s="116"/>
      <c r="I430" s="116"/>
      <c r="J430" s="116"/>
    </row>
    <row r="431" spans="1:10" ht="13.5" customHeight="1">
      <c r="A431" s="2"/>
      <c r="B431" s="116"/>
      <c r="C431" s="116"/>
      <c r="D431" s="116"/>
      <c r="E431" s="116"/>
      <c r="F431" s="116"/>
      <c r="G431" s="116"/>
      <c r="H431" s="116"/>
      <c r="I431" s="116"/>
      <c r="J431" s="116"/>
    </row>
    <row r="432" spans="1:10" ht="13.5" customHeight="1">
      <c r="A432" s="2"/>
      <c r="B432" s="116"/>
      <c r="C432" s="116"/>
      <c r="D432" s="116"/>
      <c r="E432" s="116"/>
      <c r="F432" s="116"/>
      <c r="G432" s="116"/>
      <c r="H432" s="116"/>
      <c r="I432" s="116"/>
      <c r="J432" s="116"/>
    </row>
    <row r="433" spans="1:10" ht="13.5" customHeight="1">
      <c r="A433" s="2"/>
      <c r="B433" s="116"/>
      <c r="C433" s="116"/>
      <c r="D433" s="116"/>
      <c r="E433" s="116"/>
      <c r="F433" s="116"/>
      <c r="G433" s="116"/>
      <c r="H433" s="116"/>
      <c r="I433" s="116"/>
      <c r="J433" s="116"/>
    </row>
    <row r="434" spans="1:10" ht="13.5" customHeight="1">
      <c r="A434" s="2"/>
      <c r="B434" s="116"/>
      <c r="C434" s="116"/>
      <c r="D434" s="116"/>
      <c r="E434" s="116"/>
      <c r="F434" s="116"/>
      <c r="G434" s="116"/>
      <c r="H434" s="116"/>
      <c r="I434" s="116"/>
      <c r="J434" s="116"/>
    </row>
    <row r="435" spans="1:10" ht="13.5" customHeight="1">
      <c r="A435" s="2"/>
      <c r="B435" s="116"/>
      <c r="C435" s="116"/>
      <c r="D435" s="116"/>
      <c r="E435" s="116"/>
      <c r="F435" s="116"/>
      <c r="G435" s="116"/>
      <c r="H435" s="116"/>
      <c r="I435" s="116"/>
      <c r="J435" s="116"/>
    </row>
    <row r="436" spans="1:10" ht="13.5" customHeight="1">
      <c r="A436" s="2"/>
      <c r="B436" s="116"/>
      <c r="C436" s="116"/>
      <c r="D436" s="116"/>
      <c r="E436" s="116"/>
      <c r="F436" s="116"/>
      <c r="G436" s="116"/>
      <c r="H436" s="116"/>
      <c r="I436" s="116"/>
      <c r="J436" s="116"/>
    </row>
    <row r="437" spans="1:10" ht="13.5" customHeight="1">
      <c r="A437" s="2"/>
      <c r="B437" s="116"/>
      <c r="C437" s="116"/>
      <c r="D437" s="116"/>
      <c r="E437" s="116"/>
      <c r="F437" s="116"/>
      <c r="G437" s="116"/>
      <c r="H437" s="116"/>
      <c r="I437" s="116"/>
      <c r="J437" s="116"/>
    </row>
    <row r="438" spans="1:10" ht="13.5" customHeight="1">
      <c r="A438" s="2"/>
      <c r="B438" s="116"/>
      <c r="C438" s="116"/>
      <c r="D438" s="116"/>
      <c r="E438" s="116"/>
      <c r="F438" s="116"/>
      <c r="G438" s="116"/>
      <c r="H438" s="116"/>
      <c r="I438" s="116"/>
      <c r="J438" s="116"/>
    </row>
    <row r="439" spans="1:10" ht="13.5" customHeight="1">
      <c r="A439" s="2"/>
      <c r="B439" s="116"/>
      <c r="C439" s="116"/>
      <c r="D439" s="116"/>
      <c r="E439" s="116"/>
      <c r="F439" s="116"/>
      <c r="G439" s="116"/>
      <c r="H439" s="116"/>
      <c r="I439" s="116"/>
      <c r="J439" s="116"/>
    </row>
    <row r="440" spans="1:10" ht="13.5" customHeight="1">
      <c r="A440" s="2"/>
      <c r="B440" s="116"/>
      <c r="C440" s="116"/>
      <c r="D440" s="116"/>
      <c r="E440" s="116"/>
      <c r="F440" s="116"/>
      <c r="G440" s="116"/>
      <c r="H440" s="116"/>
      <c r="I440" s="116"/>
      <c r="J440" s="116"/>
    </row>
    <row r="441" spans="1:10" ht="13.5" customHeight="1">
      <c r="A441" s="2"/>
      <c r="B441" s="116"/>
      <c r="C441" s="116"/>
      <c r="D441" s="116"/>
      <c r="E441" s="116"/>
      <c r="F441" s="116"/>
      <c r="G441" s="116"/>
      <c r="H441" s="116"/>
      <c r="I441" s="116"/>
      <c r="J441" s="116"/>
    </row>
    <row r="442" spans="1:10" ht="13.5" customHeight="1">
      <c r="A442" s="2"/>
      <c r="B442" s="116"/>
      <c r="C442" s="116"/>
      <c r="D442" s="116"/>
      <c r="E442" s="116"/>
      <c r="F442" s="116"/>
      <c r="G442" s="116"/>
      <c r="H442" s="116"/>
      <c r="I442" s="116"/>
      <c r="J442" s="116"/>
    </row>
    <row r="443" spans="1:10" ht="13.5" customHeight="1">
      <c r="A443" s="2"/>
      <c r="B443" s="116"/>
      <c r="C443" s="116"/>
      <c r="D443" s="116"/>
      <c r="E443" s="116"/>
      <c r="F443" s="116"/>
      <c r="G443" s="116"/>
      <c r="H443" s="116"/>
      <c r="I443" s="116"/>
      <c r="J443" s="116"/>
    </row>
    <row r="444" spans="1:10" ht="13.5" customHeight="1">
      <c r="A444" s="2"/>
      <c r="B444" s="116"/>
      <c r="C444" s="116"/>
      <c r="D444" s="116"/>
      <c r="E444" s="116"/>
      <c r="F444" s="116"/>
      <c r="G444" s="116"/>
      <c r="H444" s="116"/>
      <c r="I444" s="116"/>
      <c r="J444" s="116"/>
    </row>
    <row r="445" spans="1:10" ht="13.5" customHeight="1">
      <c r="A445" s="2"/>
      <c r="B445" s="116"/>
      <c r="C445" s="116"/>
      <c r="D445" s="116"/>
      <c r="E445" s="116"/>
      <c r="F445" s="116"/>
      <c r="G445" s="116"/>
      <c r="H445" s="116"/>
      <c r="I445" s="116"/>
      <c r="J445" s="116"/>
    </row>
    <row r="446" spans="1:10" ht="13.5" customHeight="1">
      <c r="A446" s="2"/>
      <c r="B446" s="116"/>
      <c r="C446" s="116"/>
      <c r="D446" s="116"/>
      <c r="E446" s="116"/>
      <c r="F446" s="116"/>
      <c r="G446" s="116"/>
      <c r="H446" s="116"/>
      <c r="I446" s="116"/>
      <c r="J446" s="116"/>
    </row>
    <row r="447" spans="1:10" ht="13.5" customHeight="1">
      <c r="A447" s="2"/>
      <c r="B447" s="116"/>
      <c r="C447" s="116"/>
      <c r="D447" s="116"/>
      <c r="E447" s="116"/>
      <c r="F447" s="116"/>
      <c r="G447" s="116"/>
      <c r="H447" s="116"/>
      <c r="I447" s="116"/>
      <c r="J447" s="116"/>
    </row>
    <row r="448" spans="1:10" ht="13.5" customHeight="1">
      <c r="A448" s="2"/>
      <c r="B448" s="116"/>
      <c r="C448" s="116"/>
      <c r="D448" s="116"/>
      <c r="E448" s="116"/>
      <c r="F448" s="116"/>
      <c r="G448" s="116"/>
      <c r="H448" s="116"/>
      <c r="I448" s="116"/>
      <c r="J448" s="116"/>
    </row>
    <row r="449" spans="1:10" ht="13.5" customHeight="1">
      <c r="A449" s="2"/>
      <c r="B449" s="116"/>
      <c r="C449" s="116"/>
      <c r="D449" s="116"/>
      <c r="E449" s="116"/>
      <c r="F449" s="116"/>
      <c r="G449" s="116"/>
      <c r="H449" s="116"/>
      <c r="I449" s="116"/>
      <c r="J449" s="116"/>
    </row>
    <row r="450" spans="1:10" ht="13.5" customHeight="1">
      <c r="A450" s="2"/>
      <c r="B450" s="116"/>
      <c r="C450" s="116"/>
      <c r="D450" s="116"/>
      <c r="E450" s="116"/>
      <c r="F450" s="116"/>
      <c r="G450" s="116"/>
      <c r="H450" s="116"/>
      <c r="I450" s="116"/>
      <c r="J450" s="116"/>
    </row>
    <row r="451" spans="1:10" ht="13.5" customHeight="1">
      <c r="A451" s="2"/>
      <c r="B451" s="116"/>
      <c r="C451" s="116"/>
      <c r="D451" s="116"/>
      <c r="E451" s="116"/>
      <c r="F451" s="116"/>
      <c r="G451" s="116"/>
      <c r="H451" s="116"/>
      <c r="I451" s="116"/>
      <c r="J451" s="116"/>
    </row>
    <row r="452" spans="1:10" ht="13.5" customHeight="1">
      <c r="A452" s="2"/>
      <c r="B452" s="116"/>
      <c r="C452" s="116"/>
      <c r="D452" s="116"/>
      <c r="E452" s="116"/>
      <c r="F452" s="116"/>
      <c r="G452" s="116"/>
      <c r="H452" s="116"/>
      <c r="I452" s="116"/>
      <c r="J452" s="116"/>
    </row>
    <row r="453" spans="1:10" ht="13.5" customHeight="1">
      <c r="A453" s="2"/>
      <c r="B453" s="116"/>
      <c r="C453" s="116"/>
      <c r="D453" s="116"/>
      <c r="E453" s="116"/>
      <c r="F453" s="116"/>
      <c r="G453" s="116"/>
      <c r="H453" s="116"/>
      <c r="I453" s="116"/>
      <c r="J453" s="116"/>
    </row>
    <row r="454" spans="1:10" ht="13.5" customHeight="1">
      <c r="A454" s="2"/>
      <c r="B454" s="116"/>
      <c r="C454" s="116"/>
      <c r="D454" s="116"/>
      <c r="E454" s="116"/>
      <c r="F454" s="116"/>
      <c r="G454" s="116"/>
      <c r="H454" s="116"/>
      <c r="I454" s="116"/>
      <c r="J454" s="116"/>
    </row>
    <row r="455" spans="1:10" ht="13.5" customHeight="1">
      <c r="A455" s="2"/>
      <c r="B455" s="116"/>
      <c r="C455" s="116"/>
      <c r="D455" s="116"/>
      <c r="E455" s="116"/>
      <c r="F455" s="116"/>
      <c r="G455" s="116"/>
      <c r="H455" s="116"/>
      <c r="I455" s="116"/>
      <c r="J455" s="116"/>
    </row>
    <row r="456" spans="1:10" ht="13.5" customHeight="1">
      <c r="A456" s="2"/>
      <c r="B456" s="116"/>
      <c r="C456" s="116"/>
      <c r="D456" s="116"/>
      <c r="E456" s="116"/>
      <c r="F456" s="116"/>
      <c r="G456" s="116"/>
      <c r="H456" s="116"/>
      <c r="I456" s="116"/>
      <c r="J456" s="116"/>
    </row>
    <row r="457" spans="1:10" ht="13.5" customHeight="1">
      <c r="A457" s="2"/>
      <c r="B457" s="116"/>
      <c r="C457" s="116"/>
      <c r="D457" s="116"/>
      <c r="E457" s="116"/>
      <c r="F457" s="116"/>
      <c r="G457" s="116"/>
      <c r="H457" s="116"/>
      <c r="I457" s="116"/>
      <c r="J457" s="116"/>
    </row>
    <row r="458" spans="1:10" ht="13.5" customHeight="1">
      <c r="A458" s="2"/>
      <c r="B458" s="116"/>
      <c r="C458" s="116"/>
      <c r="D458" s="116"/>
      <c r="E458" s="116"/>
      <c r="F458" s="116"/>
      <c r="G458" s="116"/>
      <c r="H458" s="116"/>
      <c r="I458" s="116"/>
      <c r="J458" s="116"/>
    </row>
    <row r="459" spans="1:10" ht="13.5" customHeight="1">
      <c r="A459" s="2"/>
      <c r="B459" s="116"/>
      <c r="C459" s="116"/>
      <c r="D459" s="116"/>
      <c r="E459" s="116"/>
      <c r="F459" s="116"/>
      <c r="G459" s="116"/>
      <c r="H459" s="116"/>
      <c r="I459" s="116"/>
      <c r="J459" s="116"/>
    </row>
    <row r="460" spans="1:10" ht="13.5" customHeight="1">
      <c r="A460" s="2"/>
      <c r="B460" s="116"/>
      <c r="C460" s="116"/>
      <c r="D460" s="116"/>
      <c r="E460" s="116"/>
      <c r="F460" s="116"/>
      <c r="G460" s="116"/>
      <c r="H460" s="116"/>
      <c r="I460" s="116"/>
      <c r="J460" s="116"/>
    </row>
    <row r="461" spans="1:10" ht="13.5" customHeight="1">
      <c r="A461" s="2"/>
      <c r="B461" s="116"/>
      <c r="C461" s="116"/>
      <c r="D461" s="116"/>
      <c r="E461" s="116"/>
      <c r="F461" s="116"/>
      <c r="G461" s="116"/>
      <c r="H461" s="116"/>
      <c r="I461" s="116"/>
      <c r="J461" s="116"/>
    </row>
    <row r="462" spans="1:10" ht="13.5" customHeight="1">
      <c r="A462" s="2"/>
      <c r="B462" s="116"/>
      <c r="C462" s="116"/>
      <c r="D462" s="116"/>
      <c r="E462" s="116"/>
      <c r="F462" s="116"/>
      <c r="G462" s="116"/>
      <c r="H462" s="116"/>
      <c r="I462" s="116"/>
      <c r="J462" s="116"/>
    </row>
    <row r="463" spans="1:10" ht="13.5" customHeight="1">
      <c r="A463" s="2"/>
      <c r="B463" s="116"/>
      <c r="C463" s="116"/>
      <c r="D463" s="116"/>
      <c r="E463" s="116"/>
      <c r="F463" s="116"/>
      <c r="G463" s="116"/>
      <c r="H463" s="116"/>
      <c r="I463" s="116"/>
      <c r="J463" s="116"/>
    </row>
    <row r="464" spans="1:10" ht="13.5" customHeight="1">
      <c r="A464" s="2"/>
      <c r="B464" s="116"/>
      <c r="C464" s="116"/>
      <c r="D464" s="116"/>
      <c r="E464" s="116"/>
      <c r="F464" s="116"/>
      <c r="G464" s="116"/>
      <c r="H464" s="116"/>
      <c r="I464" s="116"/>
      <c r="J464" s="116"/>
    </row>
    <row r="465" spans="1:10" ht="13.5" customHeight="1">
      <c r="A465" s="2"/>
      <c r="B465" s="116"/>
      <c r="C465" s="116"/>
      <c r="D465" s="116"/>
      <c r="E465" s="116"/>
      <c r="F465" s="116"/>
      <c r="G465" s="116"/>
      <c r="H465" s="116"/>
      <c r="I465" s="116"/>
      <c r="J465" s="116"/>
    </row>
    <row r="466" spans="1:10" ht="13.5" customHeight="1">
      <c r="A466" s="2"/>
      <c r="B466" s="116"/>
      <c r="C466" s="116"/>
      <c r="D466" s="116"/>
      <c r="E466" s="116"/>
      <c r="F466" s="116"/>
      <c r="G466" s="116"/>
      <c r="H466" s="116"/>
      <c r="I466" s="116"/>
      <c r="J466" s="116"/>
    </row>
    <row r="467" spans="1:10" ht="13.5" customHeight="1">
      <c r="A467" s="2"/>
      <c r="B467" s="116"/>
      <c r="C467" s="116"/>
      <c r="D467" s="116"/>
      <c r="E467" s="116"/>
      <c r="F467" s="116"/>
      <c r="G467" s="116"/>
      <c r="H467" s="116"/>
      <c r="I467" s="116"/>
      <c r="J467" s="116"/>
    </row>
    <row r="468" spans="1:10" ht="13.5" customHeight="1">
      <c r="A468" s="2"/>
      <c r="B468" s="116"/>
      <c r="C468" s="116"/>
      <c r="D468" s="116"/>
      <c r="E468" s="116"/>
      <c r="F468" s="116"/>
      <c r="G468" s="116"/>
      <c r="H468" s="116"/>
      <c r="I468" s="116"/>
      <c r="J468" s="116"/>
    </row>
    <row r="469" spans="1:10" ht="13.5" customHeight="1">
      <c r="A469" s="2"/>
      <c r="B469" s="116"/>
      <c r="C469" s="116"/>
      <c r="D469" s="116"/>
      <c r="E469" s="116"/>
      <c r="F469" s="116"/>
      <c r="G469" s="116"/>
      <c r="H469" s="116"/>
      <c r="I469" s="116"/>
      <c r="J469" s="116"/>
    </row>
    <row r="470" spans="1:10" ht="13.5" customHeight="1">
      <c r="A470" s="2"/>
      <c r="B470" s="116"/>
      <c r="C470" s="116"/>
      <c r="D470" s="116"/>
      <c r="E470" s="116"/>
      <c r="F470" s="116"/>
      <c r="G470" s="116"/>
      <c r="H470" s="116"/>
      <c r="I470" s="116"/>
      <c r="J470" s="116"/>
    </row>
    <row r="471" spans="1:10" ht="13.5" customHeight="1">
      <c r="A471" s="2"/>
      <c r="B471" s="116"/>
      <c r="C471" s="116"/>
      <c r="D471" s="116"/>
      <c r="E471" s="116"/>
      <c r="F471" s="116"/>
      <c r="G471" s="116"/>
      <c r="H471" s="116"/>
      <c r="I471" s="116"/>
      <c r="J471" s="116"/>
    </row>
    <row r="472" spans="1:10" ht="13.5" customHeight="1">
      <c r="A472" s="2"/>
      <c r="B472" s="116"/>
      <c r="C472" s="116"/>
      <c r="D472" s="116"/>
      <c r="E472" s="116"/>
      <c r="F472" s="116"/>
      <c r="G472" s="116"/>
      <c r="H472" s="116"/>
      <c r="I472" s="116"/>
      <c r="J472" s="116"/>
    </row>
    <row r="473" spans="1:10" ht="13.5" customHeight="1">
      <c r="A473" s="2"/>
      <c r="B473" s="116"/>
      <c r="C473" s="116"/>
      <c r="D473" s="116"/>
      <c r="E473" s="116"/>
      <c r="F473" s="116"/>
      <c r="G473" s="116"/>
      <c r="H473" s="116"/>
      <c r="I473" s="116"/>
      <c r="J473" s="116"/>
    </row>
    <row r="474" spans="1:10" ht="13.5" customHeight="1">
      <c r="A474" s="2"/>
      <c r="B474" s="116"/>
      <c r="C474" s="116"/>
      <c r="D474" s="116"/>
      <c r="E474" s="116"/>
      <c r="F474" s="116"/>
      <c r="G474" s="116"/>
      <c r="H474" s="116"/>
      <c r="I474" s="116"/>
      <c r="J474" s="116"/>
    </row>
    <row r="475" spans="1:10" ht="13.5" customHeight="1">
      <c r="A475" s="2"/>
      <c r="B475" s="116"/>
      <c r="C475" s="116"/>
      <c r="D475" s="116"/>
      <c r="E475" s="116"/>
      <c r="F475" s="116"/>
      <c r="G475" s="116"/>
      <c r="H475" s="116"/>
      <c r="I475" s="116"/>
      <c r="J475" s="116"/>
    </row>
    <row r="476" spans="1:10" ht="13.5" customHeight="1">
      <c r="A476" s="2"/>
      <c r="B476" s="116"/>
      <c r="C476" s="116"/>
      <c r="D476" s="116"/>
      <c r="E476" s="116"/>
      <c r="F476" s="116"/>
      <c r="G476" s="116"/>
      <c r="H476" s="116"/>
      <c r="I476" s="116"/>
      <c r="J476" s="116"/>
    </row>
    <row r="477" spans="1:10" ht="13.5" customHeight="1">
      <c r="A477" s="2"/>
      <c r="B477" s="116"/>
      <c r="C477" s="116"/>
      <c r="D477" s="116"/>
      <c r="E477" s="116"/>
      <c r="F477" s="116"/>
      <c r="G477" s="116"/>
      <c r="H477" s="116"/>
      <c r="I477" s="116"/>
      <c r="J477" s="116"/>
    </row>
    <row r="478" spans="1:10" ht="13.5" customHeight="1">
      <c r="A478" s="2"/>
      <c r="B478" s="116"/>
      <c r="C478" s="116"/>
      <c r="D478" s="116"/>
      <c r="E478" s="116"/>
      <c r="F478" s="116"/>
      <c r="G478" s="116"/>
      <c r="H478" s="116"/>
      <c r="I478" s="116"/>
      <c r="J478" s="116"/>
    </row>
    <row r="479" spans="1:10" ht="13.5" customHeight="1">
      <c r="A479" s="2"/>
      <c r="B479" s="116"/>
      <c r="C479" s="116"/>
      <c r="D479" s="116"/>
      <c r="E479" s="116"/>
      <c r="F479" s="116"/>
      <c r="G479" s="116"/>
      <c r="H479" s="116"/>
      <c r="I479" s="116"/>
      <c r="J479" s="116"/>
    </row>
    <row r="480" spans="1:10" ht="13.5" customHeight="1">
      <c r="A480" s="2"/>
      <c r="B480" s="116"/>
      <c r="C480" s="116"/>
      <c r="D480" s="116"/>
      <c r="E480" s="116"/>
      <c r="F480" s="116"/>
      <c r="G480" s="116"/>
      <c r="H480" s="116"/>
      <c r="I480" s="116"/>
      <c r="J480" s="116"/>
    </row>
    <row r="481" spans="1:10" ht="13.5" customHeight="1">
      <c r="A481" s="2"/>
      <c r="B481" s="116"/>
      <c r="C481" s="116"/>
      <c r="D481" s="116"/>
      <c r="E481" s="116"/>
      <c r="F481" s="116"/>
      <c r="G481" s="116"/>
      <c r="H481" s="116"/>
      <c r="I481" s="116"/>
      <c r="J481" s="116"/>
    </row>
    <row r="482" spans="1:10" ht="13.5" customHeight="1">
      <c r="A482" s="2"/>
      <c r="B482" s="116"/>
      <c r="C482" s="116"/>
      <c r="D482" s="116"/>
      <c r="E482" s="116"/>
      <c r="F482" s="116"/>
      <c r="G482" s="116"/>
      <c r="H482" s="116"/>
      <c r="I482" s="116"/>
      <c r="J482" s="116"/>
    </row>
    <row r="483" spans="1:10" ht="13.5" customHeight="1">
      <c r="A483" s="2"/>
      <c r="B483" s="116"/>
      <c r="C483" s="116"/>
      <c r="D483" s="116"/>
      <c r="E483" s="116"/>
      <c r="F483" s="116"/>
      <c r="G483" s="116"/>
      <c r="H483" s="116"/>
      <c r="I483" s="116"/>
      <c r="J483" s="116"/>
    </row>
    <row r="484" spans="1:10" ht="13.5" customHeight="1">
      <c r="A484" s="2"/>
      <c r="B484" s="116"/>
      <c r="C484" s="116"/>
      <c r="D484" s="116"/>
      <c r="E484" s="116"/>
      <c r="F484" s="116"/>
      <c r="G484" s="116"/>
      <c r="H484" s="116"/>
      <c r="I484" s="116"/>
      <c r="J484" s="116"/>
    </row>
    <row r="485" spans="1:10" ht="13.5" customHeight="1">
      <c r="A485" s="2"/>
      <c r="B485" s="116"/>
      <c r="C485" s="116"/>
      <c r="D485" s="116"/>
      <c r="E485" s="116"/>
      <c r="F485" s="116"/>
      <c r="G485" s="116"/>
      <c r="H485" s="116"/>
      <c r="I485" s="116"/>
      <c r="J485" s="116"/>
    </row>
    <row r="486" spans="1:10" ht="13.5" customHeight="1">
      <c r="A486" s="2"/>
      <c r="B486" s="116"/>
      <c r="C486" s="116"/>
      <c r="D486" s="116"/>
      <c r="E486" s="116"/>
      <c r="F486" s="116"/>
      <c r="G486" s="116"/>
      <c r="H486" s="116"/>
      <c r="I486" s="116"/>
      <c r="J486" s="116"/>
    </row>
    <row r="487" spans="1:10" ht="13.5" customHeight="1">
      <c r="A487" s="2"/>
      <c r="B487" s="116"/>
      <c r="C487" s="116"/>
      <c r="D487" s="116"/>
      <c r="E487" s="116"/>
      <c r="F487" s="116"/>
      <c r="G487" s="116"/>
      <c r="H487" s="116"/>
      <c r="I487" s="116"/>
      <c r="J487" s="116"/>
    </row>
    <row r="488" spans="1:10" ht="13.5" customHeight="1">
      <c r="A488" s="2"/>
      <c r="B488" s="116"/>
      <c r="C488" s="116"/>
      <c r="D488" s="116"/>
      <c r="E488" s="116"/>
      <c r="F488" s="116"/>
      <c r="G488" s="116"/>
      <c r="H488" s="116"/>
      <c r="I488" s="116"/>
      <c r="J488" s="116"/>
    </row>
    <row r="489" spans="1:10" ht="13.5" customHeight="1">
      <c r="A489" s="2"/>
      <c r="B489" s="116"/>
      <c r="C489" s="116"/>
      <c r="D489" s="116"/>
      <c r="E489" s="116"/>
      <c r="F489" s="116"/>
      <c r="G489" s="116"/>
      <c r="H489" s="116"/>
      <c r="I489" s="116"/>
      <c r="J489" s="116"/>
    </row>
    <row r="490" spans="1:10" ht="13.5" customHeight="1">
      <c r="A490" s="2"/>
      <c r="B490" s="116"/>
      <c r="C490" s="116"/>
      <c r="D490" s="116"/>
      <c r="E490" s="116"/>
      <c r="F490" s="116"/>
      <c r="G490" s="116"/>
      <c r="H490" s="116"/>
      <c r="I490" s="116"/>
      <c r="J490" s="116"/>
    </row>
    <row r="491" spans="1:10" ht="13.5" customHeight="1">
      <c r="A491" s="2"/>
      <c r="B491" s="116"/>
      <c r="C491" s="116"/>
      <c r="D491" s="116"/>
      <c r="E491" s="116"/>
      <c r="F491" s="116"/>
      <c r="G491" s="116"/>
      <c r="H491" s="116"/>
      <c r="I491" s="116"/>
      <c r="J491" s="116"/>
    </row>
    <row r="492" spans="1:10" ht="13.5" customHeight="1">
      <c r="A492" s="2"/>
      <c r="B492" s="116"/>
      <c r="C492" s="116"/>
      <c r="D492" s="116"/>
      <c r="E492" s="116"/>
      <c r="F492" s="116"/>
      <c r="G492" s="116"/>
      <c r="H492" s="116"/>
      <c r="I492" s="116"/>
      <c r="J492" s="116"/>
    </row>
    <row r="493" spans="1:10" ht="13.5" customHeight="1">
      <c r="A493" s="2"/>
      <c r="B493" s="116"/>
      <c r="C493" s="116"/>
      <c r="D493" s="116"/>
      <c r="E493" s="116"/>
      <c r="F493" s="116"/>
      <c r="G493" s="116"/>
      <c r="H493" s="116"/>
      <c r="I493" s="116"/>
      <c r="J493" s="116"/>
    </row>
    <row r="494" spans="1:10" ht="13.5" customHeight="1">
      <c r="A494" s="2"/>
      <c r="B494" s="116"/>
      <c r="C494" s="116"/>
      <c r="D494" s="116"/>
      <c r="E494" s="116"/>
      <c r="F494" s="116"/>
      <c r="G494" s="116"/>
      <c r="H494" s="116"/>
      <c r="I494" s="116"/>
      <c r="J494" s="116"/>
    </row>
    <row r="495" spans="1:10" ht="13.5" customHeight="1">
      <c r="A495" s="2"/>
      <c r="B495" s="116"/>
      <c r="C495" s="116"/>
      <c r="D495" s="116"/>
      <c r="E495" s="116"/>
      <c r="F495" s="116"/>
      <c r="G495" s="116"/>
      <c r="H495" s="116"/>
      <c r="I495" s="116"/>
      <c r="J495" s="116"/>
    </row>
    <row r="496" spans="1:10" ht="13.5" customHeight="1">
      <c r="A496" s="2"/>
      <c r="B496" s="116"/>
      <c r="C496" s="116"/>
      <c r="D496" s="116"/>
      <c r="E496" s="116"/>
      <c r="F496" s="116"/>
      <c r="G496" s="116"/>
      <c r="H496" s="116"/>
      <c r="I496" s="116"/>
      <c r="J496" s="116"/>
    </row>
    <row r="497" spans="1:10" ht="13.5" customHeight="1">
      <c r="A497" s="2"/>
      <c r="B497" s="116"/>
      <c r="C497" s="116"/>
      <c r="D497" s="116"/>
      <c r="E497" s="116"/>
      <c r="F497" s="116"/>
      <c r="G497" s="116"/>
      <c r="H497" s="116"/>
      <c r="I497" s="116"/>
      <c r="J497" s="116"/>
    </row>
    <row r="498" spans="1:10" ht="13.5" customHeight="1">
      <c r="A498" s="2"/>
      <c r="B498" s="116"/>
      <c r="C498" s="116"/>
      <c r="D498" s="116"/>
      <c r="E498" s="116"/>
      <c r="F498" s="116"/>
      <c r="G498" s="116"/>
      <c r="H498" s="116"/>
      <c r="I498" s="116"/>
      <c r="J498" s="116"/>
    </row>
    <row r="499" spans="1:10" ht="13.5" customHeight="1">
      <c r="A499" s="2"/>
      <c r="B499" s="116"/>
      <c r="C499" s="116"/>
      <c r="D499" s="116"/>
      <c r="E499" s="116"/>
      <c r="F499" s="116"/>
      <c r="G499" s="116"/>
      <c r="H499" s="116"/>
      <c r="I499" s="116"/>
      <c r="J499" s="116"/>
    </row>
    <row r="500" spans="1:10" ht="13.5" customHeight="1">
      <c r="A500" s="2"/>
      <c r="B500" s="116"/>
      <c r="C500" s="116"/>
      <c r="D500" s="116"/>
      <c r="E500" s="116"/>
      <c r="F500" s="116"/>
      <c r="G500" s="116"/>
      <c r="H500" s="116"/>
      <c r="I500" s="116"/>
      <c r="J500" s="116"/>
    </row>
    <row r="501" spans="1:10" ht="13.5" customHeight="1">
      <c r="A501" s="2"/>
      <c r="B501" s="116"/>
      <c r="C501" s="116"/>
      <c r="D501" s="116"/>
      <c r="E501" s="116"/>
      <c r="F501" s="116"/>
      <c r="G501" s="116"/>
      <c r="H501" s="116"/>
      <c r="I501" s="116"/>
      <c r="J501" s="116"/>
    </row>
    <row r="502" spans="1:10" ht="13.5" customHeight="1">
      <c r="A502" s="2"/>
      <c r="B502" s="116"/>
      <c r="C502" s="116"/>
      <c r="D502" s="116"/>
      <c r="E502" s="116"/>
      <c r="F502" s="116"/>
      <c r="G502" s="116"/>
      <c r="H502" s="116"/>
      <c r="I502" s="116"/>
      <c r="J502" s="116"/>
    </row>
    <row r="503" spans="1:10" ht="13.5" customHeight="1">
      <c r="A503" s="2"/>
      <c r="B503" s="116"/>
      <c r="C503" s="116"/>
      <c r="D503" s="116"/>
      <c r="E503" s="116"/>
      <c r="F503" s="116"/>
      <c r="G503" s="116"/>
      <c r="H503" s="116"/>
      <c r="I503" s="116"/>
      <c r="J503" s="116"/>
    </row>
    <row r="504" spans="1:10" ht="13.5" customHeight="1">
      <c r="A504" s="2"/>
      <c r="B504" s="116"/>
      <c r="C504" s="116"/>
      <c r="D504" s="116"/>
      <c r="E504" s="116"/>
      <c r="F504" s="116"/>
      <c r="G504" s="116"/>
      <c r="H504" s="116"/>
      <c r="I504" s="116"/>
      <c r="J504" s="116"/>
    </row>
    <row r="505" spans="1:10" ht="13.5" customHeight="1">
      <c r="A505" s="2"/>
      <c r="B505" s="116"/>
      <c r="C505" s="116"/>
      <c r="D505" s="116"/>
      <c r="E505" s="116"/>
      <c r="F505" s="116"/>
      <c r="G505" s="116"/>
      <c r="H505" s="116"/>
      <c r="I505" s="116"/>
      <c r="J505" s="116"/>
    </row>
    <row r="506" spans="1:10" ht="13.5" customHeight="1">
      <c r="A506" s="2"/>
      <c r="B506" s="116"/>
      <c r="C506" s="116"/>
      <c r="D506" s="116"/>
      <c r="E506" s="116"/>
      <c r="F506" s="116"/>
      <c r="G506" s="116"/>
      <c r="H506" s="116"/>
      <c r="I506" s="116"/>
      <c r="J506" s="116"/>
    </row>
    <row r="507" spans="1:10" ht="13.5" customHeight="1">
      <c r="A507" s="2"/>
      <c r="B507" s="116"/>
      <c r="C507" s="116"/>
      <c r="D507" s="116"/>
      <c r="E507" s="116"/>
      <c r="F507" s="116"/>
      <c r="G507" s="116"/>
      <c r="H507" s="116"/>
      <c r="I507" s="116"/>
      <c r="J507" s="116"/>
    </row>
    <row r="508" spans="1:10" ht="13.5" customHeight="1">
      <c r="A508" s="2"/>
      <c r="B508" s="116"/>
      <c r="C508" s="116"/>
      <c r="D508" s="116"/>
      <c r="E508" s="116"/>
      <c r="F508" s="116"/>
      <c r="G508" s="116"/>
      <c r="H508" s="116"/>
      <c r="I508" s="116"/>
      <c r="J508" s="116"/>
    </row>
    <row r="509" spans="1:10" ht="13.5" customHeight="1">
      <c r="A509" s="2"/>
      <c r="B509" s="116"/>
      <c r="C509" s="116"/>
      <c r="D509" s="116"/>
      <c r="E509" s="116"/>
      <c r="F509" s="116"/>
      <c r="G509" s="116"/>
      <c r="H509" s="116"/>
      <c r="I509" s="116"/>
      <c r="J509" s="116"/>
    </row>
    <row r="510" spans="1:10" ht="13.5" customHeight="1">
      <c r="A510" s="2"/>
      <c r="B510" s="116"/>
      <c r="C510" s="116"/>
      <c r="D510" s="116"/>
      <c r="E510" s="116"/>
      <c r="F510" s="116"/>
      <c r="G510" s="116"/>
      <c r="H510" s="116"/>
      <c r="I510" s="116"/>
      <c r="J510" s="116"/>
    </row>
    <row r="511" spans="1:10" ht="13.5" customHeight="1">
      <c r="A511" s="2"/>
      <c r="B511" s="116"/>
      <c r="C511" s="116"/>
      <c r="D511" s="116"/>
      <c r="E511" s="116"/>
      <c r="F511" s="116"/>
      <c r="G511" s="116"/>
      <c r="H511" s="116"/>
      <c r="I511" s="116"/>
      <c r="J511" s="116"/>
    </row>
    <row r="512" spans="1:10" ht="13.5" customHeight="1">
      <c r="A512" s="2"/>
      <c r="B512" s="116"/>
      <c r="C512" s="116"/>
      <c r="D512" s="116"/>
      <c r="E512" s="116"/>
      <c r="F512" s="116"/>
      <c r="G512" s="116"/>
      <c r="H512" s="116"/>
      <c r="I512" s="116"/>
      <c r="J512" s="116"/>
    </row>
    <row r="513" spans="1:10" ht="13.5" customHeight="1">
      <c r="A513" s="2"/>
      <c r="B513" s="116"/>
      <c r="C513" s="116"/>
      <c r="D513" s="116"/>
      <c r="E513" s="116"/>
      <c r="F513" s="116"/>
      <c r="G513" s="116"/>
      <c r="H513" s="116"/>
      <c r="I513" s="116"/>
      <c r="J513" s="116"/>
    </row>
    <row r="514" spans="1:10" ht="13.5" customHeight="1">
      <c r="A514" s="2"/>
      <c r="B514" s="116"/>
      <c r="C514" s="116"/>
      <c r="D514" s="116"/>
      <c r="E514" s="116"/>
      <c r="F514" s="116"/>
      <c r="G514" s="116"/>
      <c r="H514" s="116"/>
      <c r="I514" s="116"/>
      <c r="J514" s="116"/>
    </row>
    <row r="515" spans="1:10" ht="13.5" customHeight="1">
      <c r="A515" s="2"/>
      <c r="B515" s="116"/>
      <c r="C515" s="116"/>
      <c r="D515" s="116"/>
      <c r="E515" s="116"/>
      <c r="F515" s="116"/>
      <c r="G515" s="116"/>
      <c r="H515" s="116"/>
      <c r="I515" s="116"/>
      <c r="J515" s="116"/>
    </row>
    <row r="516" spans="1:10" ht="13.5" customHeight="1">
      <c r="A516" s="2"/>
      <c r="B516" s="116"/>
      <c r="C516" s="116"/>
      <c r="D516" s="116"/>
      <c r="E516" s="116"/>
      <c r="F516" s="116"/>
      <c r="G516" s="116"/>
      <c r="H516" s="116"/>
      <c r="I516" s="116"/>
      <c r="J516" s="116"/>
    </row>
    <row r="517" spans="1:10" ht="13.5" customHeight="1">
      <c r="A517" s="2"/>
      <c r="B517" s="116"/>
      <c r="C517" s="116"/>
      <c r="D517" s="116"/>
      <c r="E517" s="116"/>
      <c r="F517" s="116"/>
      <c r="G517" s="116"/>
      <c r="H517" s="116"/>
      <c r="I517" s="116"/>
      <c r="J517" s="116"/>
    </row>
    <row r="518" spans="1:10" ht="13.5" customHeight="1">
      <c r="A518" s="2"/>
      <c r="B518" s="116"/>
      <c r="C518" s="116"/>
      <c r="D518" s="116"/>
      <c r="E518" s="116"/>
      <c r="F518" s="116"/>
      <c r="G518" s="116"/>
      <c r="H518" s="116"/>
      <c r="I518" s="116"/>
      <c r="J518" s="116"/>
    </row>
    <row r="519" spans="1:10" ht="13.5" customHeight="1">
      <c r="A519" s="2"/>
      <c r="B519" s="116"/>
      <c r="C519" s="116"/>
      <c r="D519" s="116"/>
      <c r="E519" s="116"/>
      <c r="F519" s="116"/>
      <c r="G519" s="116"/>
      <c r="H519" s="116"/>
      <c r="I519" s="116"/>
      <c r="J519" s="116"/>
    </row>
    <row r="520" spans="1:10" ht="13.5" customHeight="1">
      <c r="A520" s="2"/>
      <c r="B520" s="116"/>
      <c r="C520" s="116"/>
      <c r="D520" s="116"/>
      <c r="E520" s="116"/>
      <c r="F520" s="116"/>
      <c r="G520" s="116"/>
      <c r="H520" s="116"/>
      <c r="I520" s="116"/>
      <c r="J520" s="116"/>
    </row>
    <row r="521" spans="1:10" ht="13.5" customHeight="1">
      <c r="A521" s="2"/>
      <c r="B521" s="116"/>
      <c r="C521" s="116"/>
      <c r="D521" s="116"/>
      <c r="E521" s="116"/>
      <c r="F521" s="116"/>
      <c r="G521" s="116"/>
      <c r="H521" s="116"/>
      <c r="I521" s="116"/>
      <c r="J521" s="116"/>
    </row>
    <row r="522" spans="1:10" ht="13.5" customHeight="1">
      <c r="A522" s="2"/>
      <c r="B522" s="116"/>
      <c r="C522" s="116"/>
      <c r="D522" s="116"/>
      <c r="E522" s="116"/>
      <c r="F522" s="116"/>
      <c r="G522" s="116"/>
      <c r="H522" s="116"/>
      <c r="I522" s="116"/>
      <c r="J522" s="116"/>
    </row>
    <row r="523" spans="1:10" ht="13.5" customHeight="1">
      <c r="A523" s="2"/>
      <c r="B523" s="116"/>
      <c r="C523" s="116"/>
      <c r="D523" s="116"/>
      <c r="E523" s="116"/>
      <c r="F523" s="116"/>
      <c r="G523" s="116"/>
      <c r="H523" s="116"/>
      <c r="I523" s="116"/>
      <c r="J523" s="116"/>
    </row>
    <row r="524" spans="1:10" ht="13.5" customHeight="1">
      <c r="A524" s="2"/>
      <c r="B524" s="116"/>
      <c r="C524" s="116"/>
      <c r="D524" s="116"/>
      <c r="E524" s="116"/>
      <c r="F524" s="116"/>
      <c r="G524" s="116"/>
      <c r="H524" s="116"/>
      <c r="I524" s="116"/>
      <c r="J524" s="116"/>
    </row>
    <row r="525" spans="1:10" ht="13.5" customHeight="1">
      <c r="A525" s="2"/>
      <c r="B525" s="116"/>
      <c r="C525" s="116"/>
      <c r="D525" s="116"/>
      <c r="E525" s="116"/>
      <c r="F525" s="116"/>
      <c r="G525" s="116"/>
      <c r="H525" s="116"/>
      <c r="I525" s="116"/>
      <c r="J525" s="116"/>
    </row>
    <row r="526" spans="1:10" ht="13.5" customHeight="1">
      <c r="A526" s="2"/>
      <c r="B526" s="116"/>
      <c r="C526" s="116"/>
      <c r="D526" s="116"/>
      <c r="E526" s="116"/>
      <c r="F526" s="116"/>
      <c r="G526" s="116"/>
      <c r="H526" s="116"/>
      <c r="I526" s="116"/>
      <c r="J526" s="116"/>
    </row>
    <row r="527" spans="1:10" ht="13.5" customHeight="1">
      <c r="A527" s="2"/>
      <c r="B527" s="116"/>
      <c r="C527" s="116"/>
      <c r="D527" s="116"/>
      <c r="E527" s="116"/>
      <c r="F527" s="116"/>
      <c r="G527" s="116"/>
      <c r="H527" s="116"/>
      <c r="I527" s="116"/>
      <c r="J527" s="116"/>
    </row>
    <row r="528" spans="1:10" ht="13.5" customHeight="1">
      <c r="A528" s="2"/>
      <c r="B528" s="116"/>
      <c r="C528" s="116"/>
      <c r="D528" s="116"/>
      <c r="E528" s="116"/>
      <c r="F528" s="116"/>
      <c r="G528" s="116"/>
      <c r="H528" s="116"/>
      <c r="I528" s="116"/>
      <c r="J528" s="116"/>
    </row>
    <row r="529" spans="1:10" ht="13.5" customHeight="1">
      <c r="A529" s="2"/>
      <c r="B529" s="116"/>
      <c r="C529" s="116"/>
      <c r="D529" s="116"/>
      <c r="E529" s="116"/>
      <c r="F529" s="116"/>
      <c r="G529" s="116"/>
      <c r="H529" s="116"/>
      <c r="I529" s="116"/>
      <c r="J529" s="116"/>
    </row>
    <row r="530" spans="1:10" ht="13.5" customHeight="1">
      <c r="A530" s="2"/>
      <c r="B530" s="116"/>
      <c r="C530" s="116"/>
      <c r="D530" s="116"/>
      <c r="E530" s="116"/>
      <c r="F530" s="116"/>
      <c r="G530" s="116"/>
      <c r="H530" s="116"/>
      <c r="I530" s="116"/>
      <c r="J530" s="116"/>
    </row>
    <row r="531" spans="1:10" ht="13.5" customHeight="1">
      <c r="A531" s="2"/>
      <c r="B531" s="116"/>
      <c r="C531" s="116"/>
      <c r="D531" s="116"/>
      <c r="E531" s="116"/>
      <c r="F531" s="116"/>
      <c r="G531" s="116"/>
      <c r="H531" s="116"/>
      <c r="I531" s="116"/>
      <c r="J531" s="116"/>
    </row>
    <row r="532" spans="1:10" ht="13.5" customHeight="1">
      <c r="A532" s="2"/>
      <c r="B532" s="116"/>
      <c r="C532" s="116"/>
      <c r="D532" s="116"/>
      <c r="E532" s="116"/>
      <c r="F532" s="116"/>
      <c r="G532" s="116"/>
      <c r="H532" s="116"/>
      <c r="I532" s="116"/>
      <c r="J532" s="116"/>
    </row>
    <row r="533" spans="1:10" ht="13.5" customHeight="1">
      <c r="A533" s="2"/>
      <c r="B533" s="116"/>
      <c r="C533" s="116"/>
      <c r="D533" s="116"/>
      <c r="E533" s="116"/>
      <c r="F533" s="116"/>
      <c r="G533" s="116"/>
      <c r="H533" s="116"/>
      <c r="I533" s="116"/>
      <c r="J533" s="116"/>
    </row>
    <row r="534" spans="1:10" ht="13.5" customHeight="1">
      <c r="A534" s="2"/>
      <c r="B534" s="116"/>
      <c r="C534" s="116"/>
      <c r="D534" s="116"/>
      <c r="E534" s="116"/>
      <c r="F534" s="116"/>
      <c r="G534" s="116"/>
      <c r="H534" s="116"/>
      <c r="I534" s="116"/>
      <c r="J534" s="116"/>
    </row>
    <row r="535" spans="1:10" ht="13.5" customHeight="1">
      <c r="A535" s="2"/>
      <c r="B535" s="116"/>
      <c r="C535" s="116"/>
      <c r="D535" s="116"/>
      <c r="E535" s="116"/>
      <c r="F535" s="116"/>
      <c r="G535" s="116"/>
      <c r="H535" s="116"/>
      <c r="I535" s="116"/>
      <c r="J535" s="116"/>
    </row>
    <row r="536" spans="1:10" ht="13.5" customHeight="1">
      <c r="A536" s="2"/>
      <c r="B536" s="116"/>
      <c r="C536" s="116"/>
      <c r="D536" s="116"/>
      <c r="E536" s="116"/>
      <c r="F536" s="116"/>
      <c r="G536" s="116"/>
      <c r="H536" s="116"/>
      <c r="I536" s="116"/>
      <c r="J536" s="116"/>
    </row>
    <row r="537" spans="1:10" ht="13.5" customHeight="1">
      <c r="A537" s="2"/>
      <c r="B537" s="116"/>
      <c r="C537" s="116"/>
      <c r="D537" s="116"/>
      <c r="E537" s="116"/>
      <c r="F537" s="116"/>
      <c r="G537" s="116"/>
      <c r="H537" s="116"/>
      <c r="I537" s="116"/>
      <c r="J537" s="116"/>
    </row>
    <row r="538" spans="1:10" ht="13.5" customHeight="1">
      <c r="A538" s="2"/>
      <c r="B538" s="116"/>
      <c r="C538" s="116"/>
      <c r="D538" s="116"/>
      <c r="E538" s="116"/>
      <c r="F538" s="116"/>
      <c r="G538" s="116"/>
      <c r="H538" s="116"/>
      <c r="I538" s="116"/>
      <c r="J538" s="116"/>
    </row>
    <row r="539" spans="1:10" ht="13.5" customHeight="1">
      <c r="A539" s="2"/>
      <c r="B539" s="116"/>
      <c r="C539" s="116"/>
      <c r="D539" s="116"/>
      <c r="E539" s="116"/>
      <c r="F539" s="116"/>
      <c r="G539" s="116"/>
      <c r="H539" s="116"/>
      <c r="I539" s="116"/>
      <c r="J539" s="116"/>
    </row>
    <row r="540" spans="1:10" ht="13.5" customHeight="1">
      <c r="A540" s="2"/>
      <c r="B540" s="116"/>
      <c r="C540" s="116"/>
      <c r="D540" s="116"/>
      <c r="E540" s="116"/>
      <c r="F540" s="116"/>
      <c r="G540" s="116"/>
      <c r="H540" s="116"/>
      <c r="I540" s="116"/>
      <c r="J540" s="116"/>
    </row>
    <row r="541" spans="1:10" ht="13.5" customHeight="1">
      <c r="A541" s="2"/>
      <c r="B541" s="116"/>
      <c r="C541" s="116"/>
      <c r="D541" s="116"/>
      <c r="E541" s="116"/>
      <c r="F541" s="116"/>
      <c r="G541" s="116"/>
      <c r="H541" s="116"/>
      <c r="I541" s="116"/>
      <c r="J541" s="116"/>
    </row>
    <row r="542" spans="1:10" ht="13.5" customHeight="1">
      <c r="A542" s="2"/>
      <c r="B542" s="116"/>
      <c r="C542" s="116"/>
      <c r="D542" s="116"/>
      <c r="E542" s="116"/>
      <c r="F542" s="116"/>
      <c r="G542" s="116"/>
      <c r="H542" s="116"/>
      <c r="I542" s="116"/>
      <c r="J542" s="116"/>
    </row>
    <row r="543" spans="1:10" ht="13.5" customHeight="1">
      <c r="A543" s="2"/>
      <c r="B543" s="116"/>
      <c r="C543" s="116"/>
      <c r="D543" s="116"/>
      <c r="E543" s="116"/>
      <c r="F543" s="116"/>
      <c r="G543" s="116"/>
      <c r="H543" s="116"/>
      <c r="I543" s="116"/>
      <c r="J543" s="116"/>
    </row>
    <row r="544" spans="1:10" ht="13.5" customHeight="1">
      <c r="A544" s="2"/>
      <c r="B544" s="116"/>
      <c r="C544" s="116"/>
      <c r="D544" s="116"/>
      <c r="E544" s="116"/>
      <c r="F544" s="116"/>
      <c r="G544" s="116"/>
      <c r="H544" s="116"/>
      <c r="I544" s="116"/>
      <c r="J544" s="116"/>
    </row>
    <row r="545" spans="1:10" ht="13.5" customHeight="1">
      <c r="A545" s="2"/>
      <c r="B545" s="116"/>
      <c r="C545" s="116"/>
      <c r="D545" s="116"/>
      <c r="E545" s="116"/>
      <c r="F545" s="116"/>
      <c r="G545" s="116"/>
      <c r="H545" s="116"/>
      <c r="I545" s="116"/>
      <c r="J545" s="116"/>
    </row>
    <row r="546" spans="1:10" ht="13.5" customHeight="1">
      <c r="A546" s="2"/>
      <c r="B546" s="116"/>
      <c r="C546" s="116"/>
      <c r="D546" s="116"/>
      <c r="E546" s="116"/>
      <c r="F546" s="116"/>
      <c r="G546" s="116"/>
      <c r="H546" s="116"/>
      <c r="I546" s="116"/>
      <c r="J546" s="116"/>
    </row>
    <row r="547" spans="1:10" ht="13.5" customHeight="1">
      <c r="A547" s="2"/>
      <c r="B547" s="116"/>
      <c r="C547" s="116"/>
      <c r="D547" s="116"/>
      <c r="E547" s="116"/>
      <c r="F547" s="116"/>
      <c r="G547" s="116"/>
      <c r="H547" s="116"/>
      <c r="I547" s="116"/>
      <c r="J547" s="116"/>
    </row>
    <row r="548" spans="1:10" ht="13.5" customHeight="1">
      <c r="A548" s="2"/>
      <c r="B548" s="116"/>
      <c r="C548" s="116"/>
      <c r="D548" s="116"/>
      <c r="E548" s="116"/>
      <c r="F548" s="116"/>
      <c r="G548" s="116"/>
      <c r="H548" s="116"/>
      <c r="I548" s="116"/>
      <c r="J548" s="116"/>
    </row>
    <row r="549" spans="1:10" ht="13.5" customHeight="1">
      <c r="A549" s="2"/>
      <c r="B549" s="116"/>
      <c r="C549" s="116"/>
      <c r="D549" s="116"/>
      <c r="E549" s="116"/>
      <c r="F549" s="116"/>
      <c r="G549" s="116"/>
      <c r="H549" s="116"/>
      <c r="I549" s="116"/>
      <c r="J549" s="116"/>
    </row>
    <row r="550" spans="1:10" ht="13.5" customHeight="1">
      <c r="A550" s="2"/>
      <c r="B550" s="116"/>
      <c r="C550" s="116"/>
      <c r="D550" s="116"/>
      <c r="E550" s="116"/>
      <c r="F550" s="116"/>
      <c r="G550" s="116"/>
      <c r="H550" s="116"/>
      <c r="I550" s="116"/>
      <c r="J550" s="116"/>
    </row>
    <row r="551" spans="1:10" ht="13.5" customHeight="1">
      <c r="A551" s="2"/>
      <c r="B551" s="116"/>
      <c r="C551" s="116"/>
      <c r="D551" s="116"/>
      <c r="E551" s="116"/>
      <c r="F551" s="116"/>
      <c r="G551" s="116"/>
      <c r="H551" s="116"/>
      <c r="I551" s="116"/>
      <c r="J551" s="116"/>
    </row>
    <row r="552" spans="1:10" ht="13.5" customHeight="1">
      <c r="A552" s="2"/>
      <c r="B552" s="116"/>
      <c r="C552" s="116"/>
      <c r="D552" s="116"/>
      <c r="E552" s="116"/>
      <c r="F552" s="116"/>
      <c r="G552" s="116"/>
      <c r="H552" s="116"/>
      <c r="I552" s="116"/>
      <c r="J552" s="116"/>
    </row>
    <row r="553" spans="1:10" ht="13.5" customHeight="1">
      <c r="A553" s="2"/>
      <c r="B553" s="116"/>
      <c r="C553" s="116"/>
      <c r="D553" s="116"/>
      <c r="E553" s="116"/>
      <c r="F553" s="116"/>
      <c r="G553" s="116"/>
      <c r="H553" s="116"/>
      <c r="I553" s="116"/>
      <c r="J553" s="116"/>
    </row>
    <row r="554" spans="1:10" ht="13.5" customHeight="1">
      <c r="A554" s="2"/>
      <c r="B554" s="116"/>
      <c r="C554" s="116"/>
      <c r="D554" s="116"/>
      <c r="E554" s="116"/>
      <c r="F554" s="116"/>
      <c r="G554" s="116"/>
      <c r="H554" s="116"/>
      <c r="I554" s="116"/>
      <c r="J554" s="116"/>
    </row>
    <row r="555" spans="1:10" ht="13.5" customHeight="1">
      <c r="A555" s="2"/>
      <c r="B555" s="116"/>
      <c r="C555" s="116"/>
      <c r="D555" s="116"/>
      <c r="E555" s="116"/>
      <c r="F555" s="116"/>
      <c r="G555" s="116"/>
      <c r="H555" s="116"/>
      <c r="I555" s="116"/>
      <c r="J555" s="116"/>
    </row>
    <row r="556" spans="1:10" ht="13.5" customHeight="1">
      <c r="A556" s="2"/>
      <c r="B556" s="116"/>
      <c r="C556" s="116"/>
      <c r="D556" s="116"/>
      <c r="E556" s="116"/>
      <c r="F556" s="116"/>
      <c r="G556" s="116"/>
      <c r="H556" s="116"/>
      <c r="I556" s="116"/>
      <c r="J556" s="116"/>
    </row>
    <row r="557" spans="1:10" ht="13.5" customHeight="1">
      <c r="A557" s="2"/>
      <c r="B557" s="116"/>
      <c r="C557" s="116"/>
      <c r="D557" s="116"/>
      <c r="E557" s="116"/>
      <c r="F557" s="116"/>
      <c r="G557" s="116"/>
      <c r="H557" s="116"/>
      <c r="I557" s="116"/>
      <c r="J557" s="116"/>
    </row>
    <row r="558" spans="1:10" ht="13.5" customHeight="1">
      <c r="A558" s="2"/>
      <c r="B558" s="116"/>
      <c r="C558" s="116"/>
      <c r="D558" s="116"/>
      <c r="E558" s="116"/>
      <c r="F558" s="116"/>
      <c r="G558" s="116"/>
      <c r="H558" s="116"/>
      <c r="I558" s="116"/>
      <c r="J558" s="116"/>
    </row>
    <row r="559" spans="1:10" ht="13.5" customHeight="1">
      <c r="A559" s="2"/>
      <c r="B559" s="116"/>
      <c r="C559" s="116"/>
      <c r="D559" s="116"/>
      <c r="E559" s="116"/>
      <c r="F559" s="116"/>
      <c r="G559" s="116"/>
      <c r="H559" s="116"/>
      <c r="I559" s="116"/>
      <c r="J559" s="116"/>
    </row>
    <row r="560" spans="1:10" ht="13.5" customHeight="1">
      <c r="A560" s="2"/>
      <c r="B560" s="116"/>
      <c r="C560" s="116"/>
      <c r="D560" s="116"/>
      <c r="E560" s="116"/>
      <c r="F560" s="116"/>
      <c r="G560" s="116"/>
      <c r="H560" s="116"/>
      <c r="I560" s="116"/>
      <c r="J560" s="116"/>
    </row>
    <row r="561" spans="1:10" ht="13.5" customHeight="1">
      <c r="A561" s="2"/>
      <c r="B561" s="116"/>
      <c r="C561" s="116"/>
      <c r="D561" s="116"/>
      <c r="E561" s="116"/>
      <c r="F561" s="116"/>
      <c r="G561" s="116"/>
      <c r="H561" s="116"/>
      <c r="I561" s="116"/>
      <c r="J561" s="116"/>
    </row>
    <row r="562" spans="1:10" ht="13.5" customHeight="1">
      <c r="A562" s="2"/>
      <c r="B562" s="116"/>
      <c r="C562" s="116"/>
      <c r="D562" s="116"/>
      <c r="E562" s="116"/>
      <c r="F562" s="116"/>
      <c r="G562" s="116"/>
      <c r="H562" s="116"/>
      <c r="I562" s="116"/>
      <c r="J562" s="116"/>
    </row>
    <row r="563" spans="1:10" ht="13.5" customHeight="1">
      <c r="A563" s="2"/>
      <c r="B563" s="116"/>
      <c r="C563" s="116"/>
      <c r="D563" s="116"/>
      <c r="E563" s="116"/>
      <c r="F563" s="116"/>
      <c r="G563" s="116"/>
      <c r="H563" s="116"/>
      <c r="I563" s="116"/>
      <c r="J563" s="116"/>
    </row>
    <row r="564" spans="1:10" ht="13.5" customHeight="1">
      <c r="A564" s="2"/>
      <c r="B564" s="116"/>
      <c r="C564" s="116"/>
      <c r="D564" s="116"/>
      <c r="E564" s="116"/>
      <c r="F564" s="116"/>
      <c r="G564" s="116"/>
      <c r="H564" s="116"/>
      <c r="I564" s="116"/>
      <c r="J564" s="116"/>
    </row>
    <row r="565" spans="1:10" ht="13.5" customHeight="1">
      <c r="A565" s="2"/>
      <c r="B565" s="116"/>
      <c r="C565" s="116"/>
      <c r="D565" s="116"/>
      <c r="E565" s="116"/>
      <c r="F565" s="116"/>
      <c r="G565" s="116"/>
      <c r="H565" s="116"/>
      <c r="I565" s="116"/>
      <c r="J565" s="116"/>
    </row>
    <row r="566" spans="1:10" ht="13.5" customHeight="1">
      <c r="A566" s="2"/>
      <c r="B566" s="116"/>
      <c r="C566" s="116"/>
      <c r="D566" s="116"/>
      <c r="E566" s="116"/>
      <c r="F566" s="116"/>
      <c r="G566" s="116"/>
      <c r="H566" s="116"/>
      <c r="I566" s="116"/>
      <c r="J566" s="116"/>
    </row>
    <row r="567" spans="1:10" ht="13.5" customHeight="1">
      <c r="A567" s="2"/>
      <c r="B567" s="116"/>
      <c r="C567" s="116"/>
      <c r="D567" s="116"/>
      <c r="E567" s="116"/>
      <c r="F567" s="116"/>
      <c r="G567" s="116"/>
      <c r="H567" s="116"/>
      <c r="I567" s="116"/>
      <c r="J567" s="116"/>
    </row>
    <row r="568" spans="1:10" ht="13.5" customHeight="1">
      <c r="A568" s="2"/>
      <c r="B568" s="116"/>
      <c r="C568" s="116"/>
      <c r="D568" s="116"/>
      <c r="E568" s="116"/>
      <c r="F568" s="116"/>
      <c r="G568" s="116"/>
      <c r="H568" s="116"/>
      <c r="I568" s="116"/>
      <c r="J568" s="116"/>
    </row>
    <row r="569" spans="1:10" ht="13.5" customHeight="1">
      <c r="A569" s="2"/>
      <c r="B569" s="116"/>
      <c r="C569" s="116"/>
      <c r="D569" s="116"/>
      <c r="E569" s="116"/>
      <c r="F569" s="116"/>
      <c r="G569" s="116"/>
      <c r="H569" s="116"/>
      <c r="I569" s="116"/>
      <c r="J569" s="116"/>
    </row>
    <row r="570" spans="1:10" ht="13.5" customHeight="1">
      <c r="A570" s="2"/>
      <c r="B570" s="116"/>
      <c r="C570" s="116"/>
      <c r="D570" s="116"/>
      <c r="E570" s="116"/>
      <c r="F570" s="116"/>
      <c r="G570" s="116"/>
      <c r="H570" s="116"/>
      <c r="I570" s="116"/>
      <c r="J570" s="116"/>
    </row>
    <row r="571" spans="1:10" ht="13.5" customHeight="1">
      <c r="A571" s="2"/>
      <c r="B571" s="116"/>
      <c r="C571" s="116"/>
      <c r="D571" s="116"/>
      <c r="E571" s="116"/>
      <c r="F571" s="116"/>
      <c r="G571" s="116"/>
      <c r="H571" s="116"/>
      <c r="I571" s="116"/>
      <c r="J571" s="116"/>
    </row>
    <row r="572" spans="1:10" ht="13.5" customHeight="1">
      <c r="A572" s="2"/>
      <c r="B572" s="116"/>
      <c r="C572" s="116"/>
      <c r="D572" s="116"/>
      <c r="E572" s="116"/>
      <c r="F572" s="116"/>
      <c r="G572" s="116"/>
      <c r="H572" s="116"/>
      <c r="I572" s="116"/>
      <c r="J572" s="116"/>
    </row>
    <row r="573" spans="1:10" ht="13.5" customHeight="1">
      <c r="A573" s="2"/>
      <c r="B573" s="116"/>
      <c r="C573" s="116"/>
      <c r="D573" s="116"/>
      <c r="E573" s="116"/>
      <c r="F573" s="116"/>
      <c r="G573" s="116"/>
      <c r="H573" s="116"/>
      <c r="I573" s="116"/>
      <c r="J573" s="116"/>
    </row>
    <row r="574" spans="1:10" ht="13.5" customHeight="1">
      <c r="A574" s="2"/>
      <c r="B574" s="116"/>
      <c r="C574" s="116"/>
      <c r="D574" s="116"/>
      <c r="E574" s="116"/>
      <c r="F574" s="116"/>
      <c r="G574" s="116"/>
      <c r="H574" s="116"/>
      <c r="I574" s="116"/>
      <c r="J574" s="116"/>
    </row>
    <row r="575" spans="1:10" ht="13.5" customHeight="1">
      <c r="A575" s="2"/>
      <c r="B575" s="116"/>
      <c r="C575" s="116"/>
      <c r="D575" s="116"/>
      <c r="E575" s="116"/>
      <c r="F575" s="116"/>
      <c r="G575" s="116"/>
      <c r="H575" s="116"/>
      <c r="I575" s="116"/>
      <c r="J575" s="116"/>
    </row>
    <row r="576" spans="1:10" ht="13.5" customHeight="1">
      <c r="A576" s="2"/>
      <c r="B576" s="116"/>
      <c r="C576" s="116"/>
      <c r="D576" s="116"/>
      <c r="E576" s="116"/>
      <c r="F576" s="116"/>
      <c r="G576" s="116"/>
      <c r="H576" s="116"/>
      <c r="I576" s="116"/>
      <c r="J576" s="116"/>
    </row>
    <row r="577" spans="1:10" ht="13.5" customHeight="1">
      <c r="A577" s="2"/>
      <c r="B577" s="116"/>
      <c r="C577" s="116"/>
      <c r="D577" s="116"/>
      <c r="E577" s="116"/>
      <c r="F577" s="116"/>
      <c r="G577" s="116"/>
      <c r="H577" s="116"/>
      <c r="I577" s="116"/>
      <c r="J577" s="116"/>
    </row>
    <row r="578" spans="1:10" ht="13.5" customHeight="1">
      <c r="A578" s="2"/>
      <c r="B578" s="116"/>
      <c r="C578" s="116"/>
      <c r="D578" s="116"/>
      <c r="E578" s="116"/>
      <c r="F578" s="116"/>
      <c r="G578" s="116"/>
      <c r="H578" s="116"/>
      <c r="I578" s="116"/>
      <c r="J578" s="116"/>
    </row>
    <row r="579" spans="1:10" ht="13.5" customHeight="1">
      <c r="A579" s="2"/>
      <c r="B579" s="116"/>
      <c r="C579" s="116"/>
      <c r="D579" s="116"/>
      <c r="E579" s="116"/>
      <c r="F579" s="116"/>
      <c r="G579" s="116"/>
      <c r="H579" s="116"/>
      <c r="I579" s="116"/>
      <c r="J579" s="116"/>
    </row>
    <row r="580" spans="1:10" ht="13.5" customHeight="1">
      <c r="A580" s="2"/>
      <c r="B580" s="116"/>
      <c r="C580" s="116"/>
      <c r="D580" s="116"/>
      <c r="E580" s="116"/>
      <c r="F580" s="116"/>
      <c r="G580" s="116"/>
      <c r="H580" s="116"/>
      <c r="I580" s="116"/>
      <c r="J580" s="116"/>
    </row>
    <row r="581" spans="1:10" ht="13.5" customHeight="1">
      <c r="A581" s="2"/>
      <c r="B581" s="116"/>
      <c r="C581" s="116"/>
      <c r="D581" s="116"/>
      <c r="E581" s="116"/>
      <c r="F581" s="116"/>
      <c r="G581" s="116"/>
      <c r="H581" s="116"/>
      <c r="I581" s="116"/>
      <c r="J581" s="116"/>
    </row>
    <row r="582" spans="1:10" ht="13.5" customHeight="1">
      <c r="A582" s="2"/>
      <c r="B582" s="116"/>
      <c r="C582" s="116"/>
      <c r="D582" s="116"/>
      <c r="E582" s="116"/>
      <c r="F582" s="116"/>
      <c r="G582" s="116"/>
      <c r="H582" s="116"/>
      <c r="I582" s="116"/>
      <c r="J582" s="116"/>
    </row>
    <row r="583" spans="1:10" ht="13.5" customHeight="1">
      <c r="A583" s="2"/>
      <c r="B583" s="116"/>
      <c r="C583" s="116"/>
      <c r="D583" s="116"/>
      <c r="E583" s="116"/>
      <c r="F583" s="116"/>
      <c r="G583" s="116"/>
      <c r="H583" s="116"/>
      <c r="I583" s="116"/>
      <c r="J583" s="116"/>
    </row>
    <row r="584" spans="1:10" ht="13.5" customHeight="1">
      <c r="A584" s="2"/>
      <c r="B584" s="116"/>
      <c r="C584" s="116"/>
      <c r="D584" s="116"/>
      <c r="E584" s="116"/>
      <c r="F584" s="116"/>
      <c r="G584" s="116"/>
      <c r="H584" s="116"/>
      <c r="I584" s="116"/>
      <c r="J584" s="116"/>
    </row>
    <row r="585" spans="1:10" ht="13.5" customHeight="1">
      <c r="A585" s="2"/>
      <c r="B585" s="116"/>
      <c r="C585" s="116"/>
      <c r="D585" s="116"/>
      <c r="E585" s="116"/>
      <c r="F585" s="116"/>
      <c r="G585" s="116"/>
      <c r="H585" s="116"/>
      <c r="I585" s="116"/>
      <c r="J585" s="116"/>
    </row>
    <row r="586" spans="1:10" ht="13.5" customHeight="1">
      <c r="A586" s="2"/>
      <c r="B586" s="116"/>
      <c r="C586" s="116"/>
      <c r="D586" s="116"/>
      <c r="E586" s="116"/>
      <c r="F586" s="116"/>
      <c r="G586" s="116"/>
      <c r="H586" s="116"/>
      <c r="I586" s="116"/>
      <c r="J586" s="116"/>
    </row>
    <row r="587" spans="1:10" ht="13.5" customHeight="1">
      <c r="A587" s="2"/>
      <c r="B587" s="116"/>
      <c r="C587" s="116"/>
      <c r="D587" s="116"/>
      <c r="E587" s="116"/>
      <c r="F587" s="116"/>
      <c r="G587" s="116"/>
      <c r="H587" s="116"/>
      <c r="I587" s="116"/>
      <c r="J587" s="116"/>
    </row>
    <row r="588" spans="1:10" ht="13.5" customHeight="1">
      <c r="A588" s="2"/>
      <c r="B588" s="116"/>
      <c r="C588" s="116"/>
      <c r="D588" s="116"/>
      <c r="E588" s="116"/>
      <c r="F588" s="116"/>
      <c r="G588" s="116"/>
      <c r="H588" s="116"/>
      <c r="I588" s="116"/>
      <c r="J588" s="116"/>
    </row>
    <row r="589" spans="1:10" ht="13.5" customHeight="1">
      <c r="A589" s="2"/>
      <c r="B589" s="116"/>
      <c r="C589" s="116"/>
      <c r="D589" s="116"/>
      <c r="E589" s="116"/>
      <c r="F589" s="116"/>
      <c r="G589" s="116"/>
      <c r="H589" s="116"/>
      <c r="I589" s="116"/>
      <c r="J589" s="116"/>
    </row>
    <row r="590" spans="1:10" ht="13.5" customHeight="1">
      <c r="A590" s="2"/>
      <c r="B590" s="116"/>
      <c r="C590" s="116"/>
      <c r="D590" s="116"/>
      <c r="E590" s="116"/>
      <c r="F590" s="116"/>
      <c r="G590" s="116"/>
      <c r="H590" s="116"/>
      <c r="I590" s="116"/>
      <c r="J590" s="116"/>
    </row>
    <row r="591" spans="1:10" ht="13.5" customHeight="1">
      <c r="A591" s="2"/>
      <c r="B591" s="116"/>
      <c r="C591" s="116"/>
      <c r="D591" s="116"/>
      <c r="E591" s="116"/>
      <c r="F591" s="116"/>
      <c r="G591" s="116"/>
      <c r="H591" s="116"/>
      <c r="I591" s="116"/>
      <c r="J591" s="116"/>
    </row>
    <row r="592" spans="1:10" ht="13.5" customHeight="1">
      <c r="A592" s="2"/>
      <c r="B592" s="116"/>
      <c r="C592" s="116"/>
      <c r="D592" s="116"/>
      <c r="E592" s="116"/>
      <c r="F592" s="116"/>
      <c r="G592" s="116"/>
      <c r="H592" s="116"/>
      <c r="I592" s="116"/>
      <c r="J592" s="116"/>
    </row>
    <row r="593" spans="1:10" ht="13.5" customHeight="1">
      <c r="A593" s="2"/>
      <c r="B593" s="116"/>
      <c r="C593" s="116"/>
      <c r="D593" s="116"/>
      <c r="E593" s="116"/>
      <c r="F593" s="116"/>
      <c r="G593" s="116"/>
      <c r="H593" s="116"/>
      <c r="I593" s="116"/>
      <c r="J593" s="116"/>
    </row>
    <row r="594" spans="1:10" ht="13.5" customHeight="1">
      <c r="A594" s="2"/>
      <c r="B594" s="116"/>
      <c r="C594" s="116"/>
      <c r="D594" s="116"/>
      <c r="E594" s="116"/>
      <c r="F594" s="116"/>
      <c r="G594" s="116"/>
      <c r="H594" s="116"/>
      <c r="I594" s="116"/>
      <c r="J594" s="116"/>
    </row>
    <row r="595" spans="1:10" ht="13.5" customHeight="1">
      <c r="A595" s="2"/>
      <c r="B595" s="116"/>
      <c r="C595" s="116"/>
      <c r="D595" s="116"/>
      <c r="E595" s="116"/>
      <c r="F595" s="116"/>
      <c r="G595" s="116"/>
      <c r="H595" s="116"/>
      <c r="I595" s="116"/>
      <c r="J595" s="116"/>
    </row>
    <row r="596" spans="1:10" ht="13.5" customHeight="1">
      <c r="A596" s="2"/>
      <c r="B596" s="116"/>
      <c r="C596" s="116"/>
      <c r="D596" s="116"/>
      <c r="E596" s="116"/>
      <c r="F596" s="116"/>
      <c r="G596" s="116"/>
      <c r="H596" s="116"/>
      <c r="I596" s="116"/>
      <c r="J596" s="116"/>
    </row>
    <row r="597" spans="1:10" ht="13.5" customHeight="1">
      <c r="A597" s="2"/>
      <c r="B597" s="116"/>
      <c r="C597" s="116"/>
      <c r="D597" s="116"/>
      <c r="E597" s="116"/>
      <c r="F597" s="116"/>
      <c r="G597" s="116"/>
      <c r="H597" s="116"/>
      <c r="I597" s="116"/>
      <c r="J597" s="116"/>
    </row>
    <row r="598" spans="1:10" ht="13.5" customHeight="1">
      <c r="A598" s="2"/>
      <c r="B598" s="116"/>
      <c r="C598" s="116"/>
      <c r="D598" s="116"/>
      <c r="E598" s="116"/>
      <c r="F598" s="116"/>
      <c r="G598" s="116"/>
      <c r="H598" s="116"/>
      <c r="I598" s="116"/>
      <c r="J598" s="116"/>
    </row>
    <row r="599" spans="1:10" ht="13.5" customHeight="1">
      <c r="A599" s="2"/>
      <c r="B599" s="116"/>
      <c r="C599" s="116"/>
      <c r="D599" s="116"/>
      <c r="E599" s="116"/>
      <c r="F599" s="116"/>
      <c r="G599" s="116"/>
      <c r="H599" s="116"/>
      <c r="I599" s="116"/>
      <c r="J599" s="116"/>
    </row>
    <row r="600" spans="1:10" ht="13.5" customHeight="1">
      <c r="A600" s="2"/>
      <c r="B600" s="116"/>
      <c r="C600" s="116"/>
      <c r="D600" s="116"/>
      <c r="E600" s="116"/>
      <c r="F600" s="116"/>
      <c r="G600" s="116"/>
      <c r="H600" s="116"/>
      <c r="I600" s="116"/>
      <c r="J600" s="116"/>
    </row>
    <row r="601" spans="1:10" ht="13.5" customHeight="1">
      <c r="A601" s="2"/>
      <c r="B601" s="116"/>
      <c r="C601" s="116"/>
      <c r="D601" s="116"/>
      <c r="E601" s="116"/>
      <c r="F601" s="116"/>
      <c r="G601" s="116"/>
      <c r="H601" s="116"/>
      <c r="I601" s="116"/>
      <c r="J601" s="116"/>
    </row>
    <row r="602" spans="1:10" ht="13.5" customHeight="1">
      <c r="A602" s="2"/>
      <c r="B602" s="116"/>
      <c r="C602" s="116"/>
      <c r="D602" s="116"/>
      <c r="E602" s="116"/>
      <c r="F602" s="116"/>
      <c r="G602" s="116"/>
      <c r="H602" s="116"/>
      <c r="I602" s="116"/>
      <c r="J602" s="116"/>
    </row>
    <row r="603" spans="1:10" ht="13.5" customHeight="1">
      <c r="A603" s="2"/>
      <c r="B603" s="116"/>
      <c r="C603" s="116"/>
      <c r="D603" s="116"/>
      <c r="E603" s="116"/>
      <c r="F603" s="116"/>
      <c r="G603" s="116"/>
      <c r="H603" s="116"/>
      <c r="I603" s="116"/>
      <c r="J603" s="116"/>
    </row>
    <row r="604" spans="1:10" ht="13.5" customHeight="1">
      <c r="A604" s="2"/>
      <c r="B604" s="116"/>
      <c r="C604" s="116"/>
      <c r="D604" s="116"/>
      <c r="E604" s="116"/>
      <c r="F604" s="116"/>
      <c r="G604" s="116"/>
      <c r="H604" s="116"/>
      <c r="I604" s="116"/>
      <c r="J604" s="116"/>
    </row>
    <row r="605" spans="1:10" ht="13.5" customHeight="1">
      <c r="A605" s="2"/>
      <c r="B605" s="116"/>
      <c r="C605" s="116"/>
      <c r="D605" s="116"/>
      <c r="E605" s="116"/>
      <c r="F605" s="116"/>
      <c r="G605" s="116"/>
      <c r="H605" s="116"/>
      <c r="I605" s="116"/>
      <c r="J605" s="116"/>
    </row>
    <row r="606" spans="1:10" ht="13.5" customHeight="1">
      <c r="A606" s="2"/>
      <c r="B606" s="116"/>
      <c r="C606" s="116"/>
      <c r="D606" s="116"/>
      <c r="E606" s="116"/>
      <c r="F606" s="116"/>
      <c r="G606" s="116"/>
      <c r="H606" s="116"/>
      <c r="I606" s="116"/>
      <c r="J606" s="116"/>
    </row>
    <row r="607" spans="1:10" ht="13.5" customHeight="1">
      <c r="A607" s="2"/>
      <c r="B607" s="116"/>
      <c r="C607" s="116"/>
      <c r="D607" s="116"/>
      <c r="E607" s="116"/>
      <c r="F607" s="116"/>
      <c r="G607" s="116"/>
      <c r="H607" s="116"/>
      <c r="I607" s="116"/>
      <c r="J607" s="116"/>
    </row>
    <row r="608" spans="1:10" ht="13.5" customHeight="1">
      <c r="A608" s="2"/>
      <c r="B608" s="116"/>
      <c r="C608" s="116"/>
      <c r="D608" s="116"/>
      <c r="E608" s="116"/>
      <c r="F608" s="116"/>
      <c r="G608" s="116"/>
      <c r="H608" s="116"/>
      <c r="I608" s="116"/>
      <c r="J608" s="116"/>
    </row>
    <row r="609" spans="1:10" ht="13.5" customHeight="1">
      <c r="A609" s="2"/>
      <c r="B609" s="116"/>
      <c r="C609" s="116"/>
      <c r="D609" s="116"/>
      <c r="E609" s="116"/>
      <c r="F609" s="116"/>
      <c r="G609" s="116"/>
      <c r="H609" s="116"/>
      <c r="I609" s="116"/>
      <c r="J609" s="116"/>
    </row>
    <row r="610" spans="1:10" ht="13.5" customHeight="1">
      <c r="A610" s="2"/>
      <c r="B610" s="116"/>
      <c r="C610" s="116"/>
      <c r="D610" s="116"/>
      <c r="E610" s="116"/>
      <c r="F610" s="116"/>
      <c r="G610" s="116"/>
      <c r="H610" s="116"/>
      <c r="I610" s="116"/>
      <c r="J610" s="116"/>
    </row>
    <row r="611" spans="1:10" ht="13.5" customHeight="1">
      <c r="A611" s="2"/>
      <c r="B611" s="116"/>
      <c r="C611" s="116"/>
      <c r="D611" s="116"/>
      <c r="E611" s="116"/>
      <c r="F611" s="116"/>
      <c r="G611" s="116"/>
      <c r="H611" s="116"/>
      <c r="I611" s="116"/>
      <c r="J611" s="116"/>
    </row>
    <row r="612" spans="1:10" ht="13.5" customHeight="1">
      <c r="A612" s="2"/>
      <c r="B612" s="116"/>
      <c r="C612" s="116"/>
      <c r="D612" s="116"/>
      <c r="E612" s="116"/>
      <c r="F612" s="116"/>
      <c r="G612" s="116"/>
      <c r="H612" s="116"/>
      <c r="I612" s="116"/>
      <c r="J612" s="116"/>
    </row>
    <row r="613" spans="1:10" ht="13.5" customHeight="1">
      <c r="A613" s="2"/>
      <c r="B613" s="116"/>
      <c r="C613" s="116"/>
      <c r="D613" s="116"/>
      <c r="E613" s="116"/>
      <c r="F613" s="116"/>
      <c r="G613" s="116"/>
      <c r="H613" s="116"/>
      <c r="I613" s="116"/>
      <c r="J613" s="116"/>
    </row>
    <row r="614" spans="1:10" ht="13.5" customHeight="1">
      <c r="A614" s="2"/>
      <c r="B614" s="116"/>
      <c r="C614" s="116"/>
      <c r="D614" s="116"/>
      <c r="E614" s="116"/>
      <c r="F614" s="116"/>
      <c r="G614" s="116"/>
      <c r="H614" s="116"/>
      <c r="I614" s="116"/>
      <c r="J614" s="116"/>
    </row>
    <row r="615" spans="1:10" ht="13.5" customHeight="1">
      <c r="A615" s="2"/>
      <c r="B615" s="116"/>
      <c r="C615" s="116"/>
      <c r="D615" s="116"/>
      <c r="E615" s="116"/>
      <c r="F615" s="116"/>
      <c r="G615" s="116"/>
      <c r="H615" s="116"/>
      <c r="I615" s="116"/>
      <c r="J615" s="116"/>
    </row>
    <row r="616" spans="1:10" ht="13.5" customHeight="1">
      <c r="A616" s="2"/>
      <c r="B616" s="116"/>
      <c r="C616" s="116"/>
      <c r="D616" s="116"/>
      <c r="E616" s="116"/>
      <c r="F616" s="116"/>
      <c r="G616" s="116"/>
      <c r="H616" s="116"/>
      <c r="I616" s="116"/>
      <c r="J616" s="116"/>
    </row>
    <row r="617" spans="1:10" ht="13.5" customHeight="1">
      <c r="A617" s="2"/>
      <c r="B617" s="116"/>
      <c r="C617" s="116"/>
      <c r="D617" s="116"/>
      <c r="E617" s="116"/>
      <c r="F617" s="116"/>
      <c r="G617" s="116"/>
      <c r="H617" s="116"/>
      <c r="I617" s="116"/>
      <c r="J617" s="116"/>
    </row>
    <row r="618" spans="1:10" ht="13.5" customHeight="1">
      <c r="A618" s="2"/>
      <c r="B618" s="116"/>
      <c r="C618" s="116"/>
      <c r="D618" s="116"/>
      <c r="E618" s="116"/>
      <c r="F618" s="116"/>
      <c r="G618" s="116"/>
      <c r="H618" s="116"/>
      <c r="I618" s="116"/>
      <c r="J618" s="116"/>
    </row>
    <row r="619" spans="1:10" ht="13.5" customHeight="1">
      <c r="A619" s="2"/>
      <c r="B619" s="116"/>
      <c r="C619" s="116"/>
      <c r="D619" s="116"/>
      <c r="E619" s="116"/>
      <c r="F619" s="116"/>
      <c r="G619" s="116"/>
      <c r="H619" s="116"/>
      <c r="I619" s="116"/>
      <c r="J619" s="116"/>
    </row>
    <row r="620" spans="1:10" ht="13.5" customHeight="1">
      <c r="A620" s="2"/>
      <c r="B620" s="116"/>
      <c r="C620" s="116"/>
      <c r="D620" s="116"/>
      <c r="E620" s="116"/>
      <c r="F620" s="116"/>
      <c r="G620" s="116"/>
      <c r="H620" s="116"/>
      <c r="I620" s="116"/>
      <c r="J620" s="116"/>
    </row>
    <row r="621" spans="1:10" ht="13.5" customHeight="1">
      <c r="A621" s="2"/>
      <c r="B621" s="116"/>
      <c r="C621" s="116"/>
      <c r="D621" s="116"/>
      <c r="E621" s="116"/>
      <c r="F621" s="116"/>
      <c r="G621" s="116"/>
      <c r="H621" s="116"/>
      <c r="I621" s="116"/>
      <c r="J621" s="116"/>
    </row>
    <row r="622" spans="1:10" ht="13.5" customHeight="1">
      <c r="A622" s="2"/>
      <c r="B622" s="116"/>
      <c r="C622" s="116"/>
      <c r="D622" s="116"/>
      <c r="E622" s="116"/>
      <c r="F622" s="116"/>
      <c r="G622" s="116"/>
      <c r="H622" s="116"/>
      <c r="I622" s="116"/>
      <c r="J622" s="116"/>
    </row>
    <row r="623" spans="1:10" ht="13.5" customHeight="1">
      <c r="A623" s="2"/>
      <c r="B623" s="116"/>
      <c r="C623" s="116"/>
      <c r="D623" s="116"/>
      <c r="E623" s="116"/>
      <c r="F623" s="116"/>
      <c r="G623" s="116"/>
      <c r="H623" s="116"/>
      <c r="I623" s="116"/>
      <c r="J623" s="116"/>
    </row>
    <row r="624" spans="1:10" ht="13.5" customHeight="1">
      <c r="A624" s="2"/>
      <c r="B624" s="116"/>
      <c r="C624" s="116"/>
      <c r="D624" s="116"/>
      <c r="E624" s="116"/>
      <c r="F624" s="116"/>
      <c r="G624" s="116"/>
      <c r="H624" s="116"/>
      <c r="I624" s="116"/>
      <c r="J624" s="116"/>
    </row>
    <row r="625" spans="1:10" ht="13.5" customHeight="1">
      <c r="A625" s="2"/>
      <c r="B625" s="116"/>
      <c r="C625" s="116"/>
      <c r="D625" s="116"/>
      <c r="E625" s="116"/>
      <c r="F625" s="116"/>
      <c r="G625" s="116"/>
      <c r="H625" s="116"/>
      <c r="I625" s="116"/>
      <c r="J625" s="116"/>
    </row>
    <row r="626" spans="1:10" ht="13.5" customHeight="1">
      <c r="A626" s="2"/>
      <c r="B626" s="116"/>
      <c r="C626" s="116"/>
      <c r="D626" s="116"/>
      <c r="E626" s="116"/>
      <c r="F626" s="116"/>
      <c r="G626" s="116"/>
      <c r="H626" s="116"/>
      <c r="I626" s="116"/>
      <c r="J626" s="116"/>
    </row>
    <row r="627" spans="1:10" ht="13.5" customHeight="1">
      <c r="A627" s="2"/>
      <c r="B627" s="116"/>
      <c r="C627" s="116"/>
      <c r="D627" s="116"/>
      <c r="E627" s="116"/>
      <c r="F627" s="116"/>
      <c r="G627" s="116"/>
      <c r="H627" s="116"/>
      <c r="I627" s="116"/>
      <c r="J627" s="116"/>
    </row>
    <row r="628" spans="1:10" ht="13.5" customHeight="1">
      <c r="A628" s="2"/>
      <c r="B628" s="116"/>
      <c r="C628" s="116"/>
      <c r="D628" s="116"/>
      <c r="E628" s="116"/>
      <c r="F628" s="116"/>
      <c r="G628" s="116"/>
      <c r="H628" s="116"/>
      <c r="I628" s="116"/>
      <c r="J628" s="116"/>
    </row>
    <row r="629" spans="1:10" ht="13.5" customHeight="1">
      <c r="A629" s="2"/>
      <c r="B629" s="116"/>
      <c r="C629" s="116"/>
      <c r="D629" s="116"/>
      <c r="E629" s="116"/>
      <c r="F629" s="116"/>
      <c r="G629" s="116"/>
      <c r="H629" s="116"/>
      <c r="I629" s="116"/>
      <c r="J629" s="116"/>
    </row>
    <row r="630" spans="1:10" ht="13.5" customHeight="1">
      <c r="A630" s="2"/>
      <c r="B630" s="116"/>
      <c r="C630" s="116"/>
      <c r="D630" s="116"/>
      <c r="E630" s="116"/>
      <c r="F630" s="116"/>
      <c r="G630" s="116"/>
      <c r="H630" s="116"/>
      <c r="I630" s="116"/>
      <c r="J630" s="116"/>
    </row>
    <row r="631" spans="1:10" ht="13.5" customHeight="1">
      <c r="A631" s="2"/>
      <c r="B631" s="116"/>
      <c r="C631" s="116"/>
      <c r="D631" s="116"/>
      <c r="E631" s="116"/>
      <c r="F631" s="116"/>
      <c r="G631" s="116"/>
      <c r="H631" s="116"/>
      <c r="I631" s="116"/>
      <c r="J631" s="116"/>
    </row>
    <row r="632" spans="1:10" ht="13.5" customHeight="1">
      <c r="A632" s="2"/>
      <c r="B632" s="116"/>
      <c r="C632" s="116"/>
      <c r="D632" s="116"/>
      <c r="E632" s="116"/>
      <c r="F632" s="116"/>
      <c r="G632" s="116"/>
      <c r="H632" s="116"/>
      <c r="I632" s="116"/>
      <c r="J632" s="116"/>
    </row>
    <row r="633" spans="1:10" ht="13.5" customHeight="1">
      <c r="A633" s="2"/>
      <c r="B633" s="116"/>
      <c r="C633" s="116"/>
      <c r="D633" s="116"/>
      <c r="E633" s="116"/>
      <c r="F633" s="116"/>
      <c r="G633" s="116"/>
      <c r="H633" s="116"/>
      <c r="I633" s="116"/>
      <c r="J633" s="116"/>
    </row>
    <row r="634" spans="1:10" ht="13.5" customHeight="1">
      <c r="A634" s="2"/>
      <c r="B634" s="116"/>
      <c r="C634" s="116"/>
      <c r="D634" s="116"/>
      <c r="E634" s="116"/>
      <c r="F634" s="116"/>
      <c r="G634" s="116"/>
      <c r="H634" s="116"/>
      <c r="I634" s="116"/>
      <c r="J634" s="116"/>
    </row>
    <row r="635" spans="1:10" ht="13.5" customHeight="1">
      <c r="A635" s="2"/>
      <c r="B635" s="116"/>
      <c r="C635" s="116"/>
      <c r="D635" s="116"/>
      <c r="E635" s="116"/>
      <c r="F635" s="116"/>
      <c r="G635" s="116"/>
      <c r="H635" s="116"/>
      <c r="I635" s="116"/>
      <c r="J635" s="116"/>
    </row>
    <row r="636" spans="1:10" ht="13.5" customHeight="1">
      <c r="A636" s="2"/>
      <c r="B636" s="116"/>
      <c r="C636" s="116"/>
      <c r="D636" s="116"/>
      <c r="E636" s="116"/>
      <c r="F636" s="116"/>
      <c r="G636" s="116"/>
      <c r="H636" s="116"/>
      <c r="I636" s="116"/>
      <c r="J636" s="116"/>
    </row>
    <row r="637" spans="1:10" ht="13.5" customHeight="1">
      <c r="A637" s="2"/>
      <c r="B637" s="116"/>
      <c r="C637" s="116"/>
      <c r="D637" s="116"/>
      <c r="E637" s="116"/>
      <c r="F637" s="116"/>
      <c r="G637" s="116"/>
      <c r="H637" s="116"/>
      <c r="I637" s="116"/>
      <c r="J637" s="116"/>
    </row>
    <row r="638" spans="1:10" ht="13.5" customHeight="1">
      <c r="A638" s="2"/>
      <c r="B638" s="116"/>
      <c r="C638" s="116"/>
      <c r="D638" s="116"/>
      <c r="E638" s="116"/>
      <c r="F638" s="116"/>
      <c r="G638" s="116"/>
      <c r="H638" s="116"/>
      <c r="I638" s="116"/>
      <c r="J638" s="116"/>
    </row>
    <row r="639" spans="1:10" ht="13.5" customHeight="1">
      <c r="A639" s="2"/>
      <c r="B639" s="116"/>
      <c r="C639" s="116"/>
      <c r="D639" s="116"/>
      <c r="E639" s="116"/>
      <c r="F639" s="116"/>
      <c r="G639" s="116"/>
      <c r="H639" s="116"/>
      <c r="I639" s="116"/>
      <c r="J639" s="116"/>
    </row>
    <row r="640" spans="1:10" ht="13.5" customHeight="1">
      <c r="A640" s="2"/>
      <c r="B640" s="116"/>
      <c r="C640" s="116"/>
      <c r="D640" s="116"/>
      <c r="E640" s="116"/>
      <c r="F640" s="116"/>
      <c r="G640" s="116"/>
      <c r="H640" s="116"/>
      <c r="I640" s="116"/>
      <c r="J640" s="116"/>
    </row>
    <row r="641" spans="1:10" ht="13.5" customHeight="1">
      <c r="A641" s="2"/>
      <c r="B641" s="116"/>
      <c r="C641" s="116"/>
      <c r="D641" s="116"/>
      <c r="E641" s="116"/>
      <c r="F641" s="116"/>
      <c r="G641" s="116"/>
      <c r="H641" s="116"/>
      <c r="I641" s="116"/>
      <c r="J641" s="116"/>
    </row>
    <row r="642" spans="1:10" ht="13.5" customHeight="1">
      <c r="A642" s="2"/>
      <c r="B642" s="116"/>
      <c r="C642" s="116"/>
      <c r="D642" s="116"/>
      <c r="E642" s="116"/>
      <c r="F642" s="116"/>
      <c r="G642" s="116"/>
      <c r="H642" s="116"/>
      <c r="I642" s="116"/>
      <c r="J642" s="116"/>
    </row>
    <row r="643" spans="1:10" ht="13.5" customHeight="1">
      <c r="A643" s="2"/>
      <c r="B643" s="116"/>
      <c r="C643" s="116"/>
      <c r="D643" s="116"/>
      <c r="E643" s="116"/>
      <c r="F643" s="116"/>
      <c r="G643" s="116"/>
      <c r="H643" s="116"/>
      <c r="I643" s="116"/>
      <c r="J643" s="116"/>
    </row>
    <row r="644" spans="1:10" ht="13.5" customHeight="1">
      <c r="A644" s="2"/>
      <c r="B644" s="116"/>
      <c r="C644" s="116"/>
      <c r="D644" s="116"/>
      <c r="E644" s="116"/>
      <c r="F644" s="116"/>
      <c r="G644" s="116"/>
      <c r="H644" s="116"/>
      <c r="I644" s="116"/>
      <c r="J644" s="116"/>
    </row>
    <row r="645" spans="1:10" ht="13.5" customHeight="1">
      <c r="A645" s="2"/>
      <c r="B645" s="116"/>
      <c r="C645" s="116"/>
      <c r="D645" s="116"/>
      <c r="E645" s="116"/>
      <c r="F645" s="116"/>
      <c r="G645" s="116"/>
      <c r="H645" s="116"/>
      <c r="I645" s="116"/>
      <c r="J645" s="116"/>
    </row>
    <row r="646" spans="1:10" ht="13.5" customHeight="1">
      <c r="A646" s="2"/>
      <c r="B646" s="116"/>
      <c r="C646" s="116"/>
      <c r="D646" s="116"/>
      <c r="E646" s="116"/>
      <c r="F646" s="116"/>
      <c r="G646" s="116"/>
      <c r="H646" s="116"/>
      <c r="I646" s="116"/>
      <c r="J646" s="116"/>
    </row>
    <row r="647" spans="1:10" ht="13.5" customHeight="1">
      <c r="A647" s="2"/>
      <c r="B647" s="116"/>
      <c r="C647" s="116"/>
      <c r="D647" s="116"/>
      <c r="E647" s="116"/>
      <c r="F647" s="116"/>
      <c r="G647" s="116"/>
      <c r="H647" s="116"/>
      <c r="I647" s="116"/>
      <c r="J647" s="116"/>
    </row>
    <row r="648" spans="1:10" ht="13.5" customHeight="1">
      <c r="A648" s="2"/>
      <c r="B648" s="116"/>
      <c r="C648" s="116"/>
      <c r="D648" s="116"/>
      <c r="E648" s="116"/>
      <c r="F648" s="116"/>
      <c r="G648" s="116"/>
      <c r="H648" s="116"/>
      <c r="I648" s="116"/>
      <c r="J648" s="116"/>
    </row>
    <row r="649" spans="1:10" ht="13.5" customHeight="1">
      <c r="A649" s="2"/>
      <c r="B649" s="116"/>
      <c r="C649" s="116"/>
      <c r="D649" s="116"/>
      <c r="E649" s="116"/>
      <c r="F649" s="116"/>
      <c r="G649" s="116"/>
      <c r="H649" s="116"/>
      <c r="I649" s="116"/>
      <c r="J649" s="116"/>
    </row>
    <row r="650" spans="1:10" ht="13.5" customHeight="1">
      <c r="A650" s="2"/>
      <c r="B650" s="116"/>
      <c r="C650" s="116"/>
      <c r="D650" s="116"/>
      <c r="E650" s="116"/>
      <c r="F650" s="116"/>
      <c r="G650" s="116"/>
      <c r="H650" s="116"/>
      <c r="I650" s="116"/>
      <c r="J650" s="116"/>
    </row>
    <row r="651" spans="1:10" ht="13.5" customHeight="1">
      <c r="A651" s="2"/>
      <c r="B651" s="116"/>
      <c r="C651" s="116"/>
      <c r="D651" s="116"/>
      <c r="E651" s="116"/>
      <c r="F651" s="116"/>
      <c r="G651" s="116"/>
      <c r="H651" s="116"/>
      <c r="I651" s="116"/>
      <c r="J651" s="116"/>
    </row>
    <row r="652" spans="1:10" ht="13.5" customHeight="1">
      <c r="A652" s="2"/>
      <c r="B652" s="116"/>
      <c r="C652" s="116"/>
      <c r="D652" s="116"/>
      <c r="E652" s="116"/>
      <c r="F652" s="116"/>
      <c r="G652" s="116"/>
      <c r="H652" s="116"/>
      <c r="I652" s="116"/>
      <c r="J652" s="116"/>
    </row>
    <row r="653" spans="1:10" ht="13.5" customHeight="1">
      <c r="A653" s="2"/>
      <c r="B653" s="116"/>
      <c r="C653" s="116"/>
      <c r="D653" s="116"/>
      <c r="E653" s="116"/>
      <c r="F653" s="116"/>
      <c r="G653" s="116"/>
      <c r="H653" s="116"/>
      <c r="I653" s="116"/>
      <c r="J653" s="116"/>
    </row>
    <row r="654" spans="1:10" ht="13.5" customHeight="1">
      <c r="A654" s="2"/>
      <c r="B654" s="116"/>
      <c r="C654" s="116"/>
      <c r="D654" s="116"/>
      <c r="E654" s="116"/>
      <c r="F654" s="116"/>
      <c r="G654" s="116"/>
      <c r="H654" s="116"/>
      <c r="I654" s="116"/>
      <c r="J654" s="116"/>
    </row>
    <row r="655" spans="1:10" ht="13.5" customHeight="1">
      <c r="A655" s="2"/>
      <c r="B655" s="116"/>
      <c r="C655" s="116"/>
      <c r="D655" s="116"/>
      <c r="E655" s="116"/>
      <c r="F655" s="116"/>
      <c r="G655" s="116"/>
      <c r="H655" s="116"/>
      <c r="I655" s="116"/>
      <c r="J655" s="116"/>
    </row>
    <row r="656" spans="1:10" ht="13.5" customHeight="1">
      <c r="A656" s="2"/>
      <c r="B656" s="116"/>
      <c r="C656" s="116"/>
      <c r="D656" s="116"/>
      <c r="E656" s="116"/>
      <c r="F656" s="116"/>
      <c r="G656" s="116"/>
      <c r="H656" s="116"/>
      <c r="I656" s="116"/>
      <c r="J656" s="116"/>
    </row>
    <row r="657" spans="1:10" ht="13.5" customHeight="1">
      <c r="A657" s="2"/>
      <c r="B657" s="116"/>
      <c r="C657" s="116"/>
      <c r="D657" s="116"/>
      <c r="E657" s="116"/>
      <c r="F657" s="116"/>
      <c r="G657" s="116"/>
      <c r="H657" s="116"/>
      <c r="I657" s="116"/>
      <c r="J657" s="116"/>
    </row>
    <row r="658" spans="1:10" ht="13.5" customHeight="1">
      <c r="A658" s="2"/>
      <c r="B658" s="116"/>
      <c r="C658" s="116"/>
      <c r="D658" s="116"/>
      <c r="E658" s="116"/>
      <c r="F658" s="116"/>
      <c r="G658" s="116"/>
      <c r="H658" s="116"/>
      <c r="I658" s="116"/>
      <c r="J658" s="116"/>
    </row>
    <row r="659" spans="1:10" ht="13.5" customHeight="1">
      <c r="A659" s="2"/>
      <c r="B659" s="116"/>
      <c r="C659" s="116"/>
      <c r="D659" s="116"/>
      <c r="E659" s="116"/>
      <c r="F659" s="116"/>
      <c r="G659" s="116"/>
      <c r="H659" s="116"/>
      <c r="I659" s="116"/>
      <c r="J659" s="116"/>
    </row>
    <row r="660" spans="1:10" ht="13.5" customHeight="1">
      <c r="A660" s="2"/>
      <c r="B660" s="116"/>
      <c r="C660" s="116"/>
      <c r="D660" s="116"/>
      <c r="E660" s="116"/>
      <c r="F660" s="116"/>
      <c r="G660" s="116"/>
      <c r="H660" s="116"/>
      <c r="I660" s="116"/>
      <c r="J660" s="116"/>
    </row>
    <row r="661" spans="1:10" ht="13.5" customHeight="1">
      <c r="A661" s="2"/>
      <c r="B661" s="116"/>
      <c r="C661" s="116"/>
      <c r="D661" s="116"/>
      <c r="E661" s="116"/>
      <c r="F661" s="116"/>
      <c r="G661" s="116"/>
      <c r="H661" s="116"/>
      <c r="I661" s="116"/>
      <c r="J661" s="116"/>
    </row>
    <row r="662" spans="1:10" ht="13.5" customHeight="1">
      <c r="A662" s="2"/>
      <c r="B662" s="116"/>
      <c r="C662" s="116"/>
      <c r="D662" s="116"/>
      <c r="E662" s="116"/>
      <c r="F662" s="116"/>
      <c r="G662" s="116"/>
      <c r="H662" s="116"/>
      <c r="I662" s="116"/>
      <c r="J662" s="116"/>
    </row>
    <row r="663" spans="1:10" ht="13.5" customHeight="1">
      <c r="A663" s="2"/>
      <c r="B663" s="116"/>
      <c r="C663" s="116"/>
      <c r="D663" s="116"/>
      <c r="E663" s="116"/>
      <c r="F663" s="116"/>
      <c r="G663" s="116"/>
      <c r="H663" s="116"/>
      <c r="I663" s="116"/>
      <c r="J663" s="116"/>
    </row>
    <row r="664" spans="1:10" ht="13.5" customHeight="1">
      <c r="A664" s="2"/>
      <c r="B664" s="116"/>
      <c r="C664" s="116"/>
      <c r="D664" s="116"/>
      <c r="E664" s="116"/>
      <c r="F664" s="116"/>
      <c r="G664" s="116"/>
      <c r="H664" s="116"/>
      <c r="I664" s="116"/>
      <c r="J664" s="116"/>
    </row>
    <row r="665" spans="1:10" ht="13.5" customHeight="1">
      <c r="A665" s="2"/>
      <c r="B665" s="116"/>
      <c r="C665" s="116"/>
      <c r="D665" s="116"/>
      <c r="E665" s="116"/>
      <c r="F665" s="116"/>
      <c r="G665" s="116"/>
      <c r="H665" s="116"/>
      <c r="I665" s="116"/>
      <c r="J665" s="116"/>
    </row>
    <row r="666" spans="1:10" ht="13.5" customHeight="1">
      <c r="A666" s="2"/>
      <c r="B666" s="116"/>
      <c r="C666" s="116"/>
      <c r="D666" s="116"/>
      <c r="E666" s="116"/>
      <c r="F666" s="116"/>
      <c r="G666" s="116"/>
      <c r="H666" s="116"/>
      <c r="I666" s="116"/>
      <c r="J666" s="116"/>
    </row>
    <row r="667" spans="1:10" ht="13.5" customHeight="1">
      <c r="A667" s="2"/>
      <c r="B667" s="116"/>
      <c r="C667" s="116"/>
      <c r="D667" s="116"/>
      <c r="E667" s="116"/>
      <c r="F667" s="116"/>
      <c r="G667" s="116"/>
      <c r="H667" s="116"/>
      <c r="I667" s="116"/>
      <c r="J667" s="116"/>
    </row>
    <row r="668" spans="1:10" ht="13.5" customHeight="1">
      <c r="A668" s="2"/>
      <c r="B668" s="116"/>
      <c r="C668" s="116"/>
      <c r="D668" s="116"/>
      <c r="E668" s="116"/>
      <c r="F668" s="116"/>
      <c r="G668" s="116"/>
      <c r="H668" s="116"/>
      <c r="I668" s="116"/>
      <c r="J668" s="116"/>
    </row>
    <row r="669" spans="1:10" ht="13.5" customHeight="1">
      <c r="A669" s="2"/>
      <c r="B669" s="116"/>
      <c r="C669" s="116"/>
      <c r="D669" s="116"/>
      <c r="E669" s="116"/>
      <c r="F669" s="116"/>
      <c r="G669" s="116"/>
      <c r="H669" s="116"/>
      <c r="I669" s="116"/>
      <c r="J669" s="116"/>
    </row>
    <row r="670" spans="1:10" ht="13.5" customHeight="1">
      <c r="A670" s="2"/>
      <c r="B670" s="116"/>
      <c r="C670" s="116"/>
      <c r="D670" s="116"/>
      <c r="E670" s="116"/>
      <c r="F670" s="116"/>
      <c r="G670" s="116"/>
      <c r="H670" s="116"/>
      <c r="I670" s="116"/>
      <c r="J670" s="116"/>
    </row>
    <row r="671" spans="1:10" ht="13.5" customHeight="1">
      <c r="A671" s="2"/>
      <c r="B671" s="116"/>
      <c r="C671" s="116"/>
      <c r="D671" s="116"/>
      <c r="E671" s="116"/>
      <c r="F671" s="116"/>
      <c r="G671" s="116"/>
      <c r="H671" s="116"/>
      <c r="I671" s="116"/>
      <c r="J671" s="116"/>
    </row>
    <row r="672" spans="1:10" ht="13.5" customHeight="1">
      <c r="A672" s="2"/>
      <c r="B672" s="116"/>
      <c r="C672" s="116"/>
      <c r="D672" s="116"/>
      <c r="E672" s="116"/>
      <c r="F672" s="116"/>
      <c r="G672" s="116"/>
      <c r="H672" s="116"/>
      <c r="I672" s="116"/>
      <c r="J672" s="116"/>
    </row>
    <row r="673" spans="1:10" ht="13.5" customHeight="1">
      <c r="A673" s="2"/>
      <c r="B673" s="116"/>
      <c r="C673" s="116"/>
      <c r="D673" s="116"/>
      <c r="E673" s="116"/>
      <c r="F673" s="116"/>
      <c r="G673" s="116"/>
      <c r="H673" s="116"/>
      <c r="I673" s="116"/>
      <c r="J673" s="116"/>
    </row>
    <row r="674" spans="1:10" ht="13.5" customHeight="1">
      <c r="A674" s="2"/>
      <c r="B674" s="116"/>
      <c r="C674" s="116"/>
      <c r="D674" s="116"/>
      <c r="E674" s="116"/>
      <c r="F674" s="116"/>
      <c r="G674" s="116"/>
      <c r="H674" s="116"/>
      <c r="I674" s="116"/>
      <c r="J674" s="116"/>
    </row>
    <row r="675" spans="1:10" ht="13.5" customHeight="1">
      <c r="A675" s="2"/>
      <c r="B675" s="116"/>
      <c r="C675" s="116"/>
      <c r="D675" s="116"/>
      <c r="E675" s="116"/>
      <c r="F675" s="116"/>
      <c r="G675" s="116"/>
      <c r="H675" s="116"/>
      <c r="I675" s="116"/>
      <c r="J675" s="116"/>
    </row>
    <row r="676" spans="1:10" ht="13.5" customHeight="1">
      <c r="A676" s="2"/>
      <c r="B676" s="116"/>
      <c r="C676" s="116"/>
      <c r="D676" s="116"/>
      <c r="E676" s="116"/>
      <c r="F676" s="116"/>
      <c r="G676" s="116"/>
      <c r="H676" s="116"/>
      <c r="I676" s="116"/>
      <c r="J676" s="116"/>
    </row>
    <row r="677" spans="1:10" ht="13.5" customHeight="1">
      <c r="A677" s="2"/>
      <c r="B677" s="116"/>
      <c r="C677" s="116"/>
      <c r="D677" s="116"/>
      <c r="E677" s="116"/>
      <c r="F677" s="116"/>
      <c r="G677" s="116"/>
      <c r="H677" s="116"/>
      <c r="I677" s="116"/>
      <c r="J677" s="116"/>
    </row>
    <row r="678" spans="1:10" ht="13.5" customHeight="1">
      <c r="A678" s="2"/>
      <c r="B678" s="116"/>
      <c r="C678" s="116"/>
      <c r="D678" s="116"/>
      <c r="E678" s="116"/>
      <c r="F678" s="116"/>
      <c r="G678" s="116"/>
      <c r="H678" s="116"/>
      <c r="I678" s="116"/>
      <c r="J678" s="116"/>
    </row>
    <row r="679" spans="1:10" ht="13.5" customHeight="1">
      <c r="A679" s="2"/>
      <c r="B679" s="116"/>
      <c r="C679" s="116"/>
      <c r="D679" s="116"/>
      <c r="E679" s="116"/>
      <c r="F679" s="116"/>
      <c r="G679" s="116"/>
      <c r="H679" s="116"/>
      <c r="I679" s="116"/>
      <c r="J679" s="116"/>
    </row>
    <row r="680" spans="1:10" ht="13.5" customHeight="1">
      <c r="A680" s="2"/>
      <c r="B680" s="116"/>
      <c r="C680" s="116"/>
      <c r="D680" s="116"/>
      <c r="E680" s="116"/>
      <c r="F680" s="116"/>
      <c r="G680" s="116"/>
      <c r="H680" s="116"/>
      <c r="I680" s="116"/>
      <c r="J680" s="116"/>
    </row>
    <row r="681" spans="1:10" ht="13.5" customHeight="1">
      <c r="A681" s="2"/>
      <c r="B681" s="116"/>
      <c r="C681" s="116"/>
      <c r="D681" s="116"/>
      <c r="E681" s="116"/>
      <c r="F681" s="116"/>
      <c r="G681" s="116"/>
      <c r="H681" s="116"/>
      <c r="I681" s="116"/>
      <c r="J681" s="116"/>
    </row>
    <row r="682" spans="1:10" ht="13.5" customHeight="1">
      <c r="A682" s="2"/>
      <c r="B682" s="116"/>
      <c r="C682" s="116"/>
      <c r="D682" s="116"/>
      <c r="E682" s="116"/>
      <c r="F682" s="116"/>
      <c r="G682" s="116"/>
      <c r="H682" s="116"/>
      <c r="I682" s="116"/>
      <c r="J682" s="116"/>
    </row>
    <row r="683" spans="1:10" ht="13.5" customHeight="1">
      <c r="A683" s="2"/>
      <c r="B683" s="116"/>
      <c r="C683" s="116"/>
      <c r="D683" s="116"/>
      <c r="E683" s="116"/>
      <c r="F683" s="116"/>
      <c r="G683" s="116"/>
      <c r="H683" s="116"/>
      <c r="I683" s="116"/>
      <c r="J683" s="116"/>
    </row>
    <row r="684" spans="1:10" ht="13.5" customHeight="1">
      <c r="A684" s="2"/>
      <c r="B684" s="116"/>
      <c r="C684" s="116"/>
      <c r="D684" s="116"/>
      <c r="E684" s="116"/>
      <c r="F684" s="116"/>
      <c r="G684" s="116"/>
      <c r="H684" s="116"/>
      <c r="I684" s="116"/>
      <c r="J684" s="116"/>
    </row>
    <row r="685" spans="1:10" ht="13.5" customHeight="1">
      <c r="A685" s="2"/>
      <c r="B685" s="116"/>
      <c r="C685" s="116"/>
      <c r="D685" s="116"/>
      <c r="E685" s="116"/>
      <c r="F685" s="116"/>
      <c r="G685" s="116"/>
      <c r="H685" s="116"/>
      <c r="I685" s="116"/>
      <c r="J685" s="116"/>
    </row>
    <row r="686" spans="1:10" ht="13.5" customHeight="1">
      <c r="A686" s="2"/>
      <c r="B686" s="116"/>
      <c r="C686" s="116"/>
      <c r="D686" s="116"/>
      <c r="E686" s="116"/>
      <c r="F686" s="116"/>
      <c r="G686" s="116"/>
      <c r="H686" s="116"/>
      <c r="I686" s="116"/>
      <c r="J686" s="116"/>
    </row>
    <row r="687" spans="1:10" ht="13.5" customHeight="1">
      <c r="A687" s="2"/>
      <c r="B687" s="116"/>
      <c r="C687" s="116"/>
      <c r="D687" s="116"/>
      <c r="E687" s="116"/>
      <c r="F687" s="116"/>
      <c r="G687" s="116"/>
      <c r="H687" s="116"/>
      <c r="I687" s="116"/>
      <c r="J687" s="116"/>
    </row>
    <row r="688" spans="1:10" ht="13.5" customHeight="1">
      <c r="A688" s="2"/>
      <c r="B688" s="116"/>
      <c r="C688" s="116"/>
      <c r="D688" s="116"/>
      <c r="E688" s="116"/>
      <c r="F688" s="116"/>
      <c r="G688" s="116"/>
      <c r="H688" s="116"/>
      <c r="I688" s="116"/>
      <c r="J688" s="116"/>
    </row>
    <row r="689" spans="1:10" ht="13.5" customHeight="1">
      <c r="A689" s="2"/>
      <c r="B689" s="116"/>
      <c r="C689" s="116"/>
      <c r="D689" s="116"/>
      <c r="E689" s="116"/>
      <c r="F689" s="116"/>
      <c r="G689" s="116"/>
      <c r="H689" s="116"/>
      <c r="I689" s="116"/>
      <c r="J689" s="116"/>
    </row>
    <row r="690" spans="1:10" ht="13.5" customHeight="1">
      <c r="A690" s="2"/>
      <c r="B690" s="116"/>
      <c r="C690" s="116"/>
      <c r="D690" s="116"/>
      <c r="E690" s="116"/>
      <c r="F690" s="116"/>
      <c r="G690" s="116"/>
      <c r="H690" s="116"/>
      <c r="I690" s="116"/>
      <c r="J690" s="116"/>
    </row>
    <row r="691" spans="1:10" ht="13.5" customHeight="1">
      <c r="A691" s="2"/>
      <c r="B691" s="116"/>
      <c r="C691" s="116"/>
      <c r="D691" s="116"/>
      <c r="E691" s="116"/>
      <c r="F691" s="116"/>
      <c r="G691" s="116"/>
      <c r="H691" s="116"/>
      <c r="I691" s="116"/>
      <c r="J691" s="116"/>
    </row>
    <row r="692" spans="1:10" ht="13.5" customHeight="1">
      <c r="A692" s="2"/>
      <c r="B692" s="116"/>
      <c r="C692" s="116"/>
      <c r="D692" s="116"/>
      <c r="E692" s="116"/>
      <c r="F692" s="116"/>
      <c r="G692" s="116"/>
      <c r="H692" s="116"/>
      <c r="I692" s="116"/>
      <c r="J692" s="116"/>
    </row>
    <row r="693" spans="1:10" ht="13.5" customHeight="1">
      <c r="A693" s="2"/>
      <c r="B693" s="116"/>
      <c r="C693" s="116"/>
      <c r="D693" s="116"/>
      <c r="E693" s="116"/>
      <c r="F693" s="116"/>
      <c r="G693" s="116"/>
      <c r="H693" s="116"/>
      <c r="I693" s="116"/>
      <c r="J693" s="116"/>
    </row>
    <row r="694" spans="1:10" ht="13.5" customHeight="1">
      <c r="A694" s="2"/>
      <c r="B694" s="116"/>
      <c r="C694" s="116"/>
      <c r="D694" s="116"/>
      <c r="E694" s="116"/>
      <c r="F694" s="116"/>
      <c r="G694" s="116"/>
      <c r="H694" s="116"/>
      <c r="I694" s="116"/>
      <c r="J694" s="116"/>
    </row>
    <row r="695" spans="1:10" ht="13.5" customHeight="1">
      <c r="A695" s="2"/>
      <c r="B695" s="116"/>
      <c r="C695" s="116"/>
      <c r="D695" s="116"/>
      <c r="E695" s="116"/>
      <c r="F695" s="116"/>
      <c r="G695" s="116"/>
      <c r="H695" s="116"/>
      <c r="I695" s="116"/>
      <c r="J695" s="116"/>
    </row>
    <row r="696" spans="1:10" ht="13.5" customHeight="1">
      <c r="A696" s="2"/>
      <c r="B696" s="116"/>
      <c r="C696" s="116"/>
      <c r="D696" s="116"/>
      <c r="E696" s="116"/>
      <c r="F696" s="116"/>
      <c r="G696" s="116"/>
      <c r="H696" s="116"/>
      <c r="I696" s="116"/>
      <c r="J696" s="116"/>
    </row>
    <row r="697" spans="1:10" ht="13.5" customHeight="1">
      <c r="A697" s="2"/>
      <c r="B697" s="116"/>
      <c r="C697" s="116"/>
      <c r="D697" s="116"/>
      <c r="E697" s="116"/>
      <c r="F697" s="116"/>
      <c r="G697" s="116"/>
      <c r="H697" s="116"/>
      <c r="I697" s="116"/>
      <c r="J697" s="116"/>
    </row>
    <row r="698" spans="1:10" ht="13.5" customHeight="1">
      <c r="A698" s="2"/>
      <c r="B698" s="116"/>
      <c r="C698" s="116"/>
      <c r="D698" s="116"/>
      <c r="E698" s="116"/>
      <c r="F698" s="116"/>
      <c r="G698" s="116"/>
      <c r="H698" s="116"/>
      <c r="I698" s="116"/>
      <c r="J698" s="116"/>
    </row>
    <row r="699" spans="1:10" ht="13.5" customHeight="1">
      <c r="A699" s="2"/>
      <c r="B699" s="116"/>
      <c r="C699" s="116"/>
      <c r="D699" s="116"/>
      <c r="E699" s="116"/>
      <c r="F699" s="116"/>
      <c r="G699" s="116"/>
      <c r="H699" s="116"/>
      <c r="I699" s="116"/>
      <c r="J699" s="116"/>
    </row>
    <row r="700" spans="1:10" ht="13.5" customHeight="1">
      <c r="A700" s="2"/>
      <c r="B700" s="116"/>
      <c r="C700" s="116"/>
      <c r="D700" s="116"/>
      <c r="E700" s="116"/>
      <c r="F700" s="116"/>
      <c r="G700" s="116"/>
      <c r="H700" s="116"/>
      <c r="I700" s="116"/>
      <c r="J700" s="116"/>
    </row>
    <row r="701" spans="1:10" ht="13.5" customHeight="1">
      <c r="A701" s="2"/>
      <c r="B701" s="116"/>
      <c r="C701" s="116"/>
      <c r="D701" s="116"/>
      <c r="E701" s="116"/>
      <c r="F701" s="116"/>
      <c r="G701" s="116"/>
      <c r="H701" s="116"/>
      <c r="I701" s="116"/>
      <c r="J701" s="116"/>
    </row>
    <row r="702" spans="1:10" ht="13.5" customHeight="1">
      <c r="A702" s="2"/>
      <c r="B702" s="116"/>
      <c r="C702" s="116"/>
      <c r="D702" s="116"/>
      <c r="E702" s="116"/>
      <c r="F702" s="116"/>
      <c r="G702" s="116"/>
      <c r="H702" s="116"/>
      <c r="I702" s="116"/>
      <c r="J702" s="116"/>
    </row>
    <row r="703" spans="1:10" ht="13.5" customHeight="1">
      <c r="A703" s="2"/>
      <c r="B703" s="116"/>
      <c r="C703" s="116"/>
      <c r="D703" s="116"/>
      <c r="E703" s="116"/>
      <c r="F703" s="116"/>
      <c r="G703" s="116"/>
      <c r="H703" s="116"/>
      <c r="I703" s="116"/>
      <c r="J703" s="116"/>
    </row>
    <row r="704" spans="1:10" ht="13.5" customHeight="1">
      <c r="A704" s="2"/>
      <c r="B704" s="116"/>
      <c r="C704" s="116"/>
      <c r="D704" s="116"/>
      <c r="E704" s="116"/>
      <c r="F704" s="116"/>
      <c r="G704" s="116"/>
      <c r="H704" s="116"/>
      <c r="I704" s="116"/>
      <c r="J704" s="116"/>
    </row>
    <row r="705" spans="1:10" ht="13.5" customHeight="1">
      <c r="A705" s="2"/>
      <c r="B705" s="116"/>
      <c r="C705" s="116"/>
      <c r="D705" s="116"/>
      <c r="E705" s="116"/>
      <c r="F705" s="116"/>
      <c r="G705" s="116"/>
      <c r="H705" s="116"/>
      <c r="I705" s="116"/>
      <c r="J705" s="116"/>
    </row>
    <row r="706" spans="1:10" ht="13.5" customHeight="1">
      <c r="A706" s="2"/>
      <c r="B706" s="116"/>
      <c r="C706" s="116"/>
      <c r="D706" s="116"/>
      <c r="E706" s="116"/>
      <c r="F706" s="116"/>
      <c r="G706" s="116"/>
      <c r="H706" s="116"/>
      <c r="I706" s="116"/>
      <c r="J706" s="116"/>
    </row>
    <row r="707" spans="1:10" ht="13.5" customHeight="1">
      <c r="A707" s="2"/>
      <c r="B707" s="116"/>
      <c r="C707" s="116"/>
      <c r="D707" s="116"/>
      <c r="E707" s="116"/>
      <c r="F707" s="116"/>
      <c r="G707" s="116"/>
      <c r="H707" s="116"/>
      <c r="I707" s="116"/>
      <c r="J707" s="116"/>
    </row>
    <row r="708" spans="1:10" ht="13.5" customHeight="1">
      <c r="A708" s="2"/>
      <c r="B708" s="116"/>
      <c r="C708" s="116"/>
      <c r="D708" s="116"/>
      <c r="E708" s="116"/>
      <c r="F708" s="116"/>
      <c r="G708" s="116"/>
      <c r="H708" s="116"/>
      <c r="I708" s="116"/>
      <c r="J708" s="116"/>
    </row>
    <row r="709" spans="1:10" ht="13.5" customHeight="1">
      <c r="A709" s="2"/>
      <c r="B709" s="116"/>
      <c r="C709" s="116"/>
      <c r="D709" s="116"/>
      <c r="E709" s="116"/>
      <c r="F709" s="116"/>
      <c r="G709" s="116"/>
      <c r="H709" s="116"/>
      <c r="I709" s="116"/>
      <c r="J709" s="116"/>
    </row>
    <row r="710" spans="1:10" ht="13.5" customHeight="1">
      <c r="A710" s="2"/>
      <c r="B710" s="116"/>
      <c r="C710" s="116"/>
      <c r="D710" s="116"/>
      <c r="E710" s="116"/>
      <c r="F710" s="116"/>
      <c r="G710" s="116"/>
      <c r="H710" s="116"/>
      <c r="I710" s="116"/>
      <c r="J710" s="116"/>
    </row>
    <row r="711" spans="1:10" ht="13.5" customHeight="1">
      <c r="A711" s="2"/>
      <c r="B711" s="116"/>
      <c r="C711" s="116"/>
      <c r="D711" s="116"/>
      <c r="E711" s="116"/>
      <c r="F711" s="116"/>
      <c r="G711" s="116"/>
      <c r="H711" s="116"/>
      <c r="I711" s="116"/>
      <c r="J711" s="116"/>
    </row>
    <row r="712" spans="1:10" ht="13.5" customHeight="1">
      <c r="A712" s="2"/>
      <c r="B712" s="116"/>
      <c r="C712" s="116"/>
      <c r="D712" s="116"/>
      <c r="E712" s="116"/>
      <c r="F712" s="116"/>
      <c r="G712" s="116"/>
      <c r="H712" s="116"/>
      <c r="I712" s="116"/>
      <c r="J712" s="116"/>
    </row>
    <row r="713" spans="1:10" ht="13.5" customHeight="1">
      <c r="A713" s="2"/>
      <c r="B713" s="116"/>
      <c r="C713" s="116"/>
      <c r="D713" s="116"/>
      <c r="E713" s="116"/>
      <c r="F713" s="116"/>
      <c r="G713" s="116"/>
      <c r="H713" s="116"/>
      <c r="I713" s="116"/>
      <c r="J713" s="116"/>
    </row>
    <row r="714" spans="1:10" ht="13.5" customHeight="1">
      <c r="A714" s="2"/>
      <c r="B714" s="116"/>
      <c r="C714" s="116"/>
      <c r="D714" s="116"/>
      <c r="E714" s="116"/>
      <c r="F714" s="116"/>
      <c r="G714" s="116"/>
      <c r="H714" s="116"/>
      <c r="I714" s="116"/>
      <c r="J714" s="116"/>
    </row>
    <row r="715" spans="1:10" ht="13.5" customHeight="1">
      <c r="A715" s="2"/>
      <c r="B715" s="116"/>
      <c r="C715" s="116"/>
      <c r="D715" s="116"/>
      <c r="E715" s="116"/>
      <c r="F715" s="116"/>
      <c r="G715" s="116"/>
      <c r="H715" s="116"/>
      <c r="I715" s="116"/>
      <c r="J715" s="116"/>
    </row>
    <row r="716" spans="1:10" ht="13.5" customHeight="1">
      <c r="A716" s="2"/>
      <c r="B716" s="116"/>
      <c r="C716" s="116"/>
      <c r="D716" s="116"/>
      <c r="E716" s="116"/>
      <c r="F716" s="116"/>
      <c r="G716" s="116"/>
      <c r="H716" s="116"/>
      <c r="I716" s="116"/>
      <c r="J716" s="116"/>
    </row>
    <row r="717" spans="1:10" ht="13.5" customHeight="1">
      <c r="A717" s="2"/>
      <c r="B717" s="116"/>
      <c r="C717" s="116"/>
      <c r="D717" s="116"/>
      <c r="E717" s="116"/>
      <c r="F717" s="116"/>
      <c r="G717" s="116"/>
      <c r="H717" s="116"/>
      <c r="I717" s="116"/>
      <c r="J717" s="116"/>
    </row>
    <row r="718" spans="1:10" ht="13.5" customHeight="1">
      <c r="A718" s="2"/>
      <c r="B718" s="116"/>
      <c r="C718" s="116"/>
      <c r="D718" s="116"/>
      <c r="E718" s="116"/>
      <c r="F718" s="116"/>
      <c r="G718" s="116"/>
      <c r="H718" s="116"/>
      <c r="I718" s="116"/>
      <c r="J718" s="116"/>
    </row>
    <row r="719" spans="1:10" ht="13.5" customHeight="1">
      <c r="A719" s="2"/>
      <c r="B719" s="116"/>
      <c r="C719" s="116"/>
      <c r="D719" s="116"/>
      <c r="E719" s="116"/>
      <c r="F719" s="116"/>
      <c r="G719" s="116"/>
      <c r="H719" s="116"/>
      <c r="I719" s="116"/>
      <c r="J719" s="116"/>
    </row>
    <row r="720" spans="1:10" ht="13.5" customHeight="1">
      <c r="A720" s="2"/>
      <c r="B720" s="116"/>
      <c r="C720" s="116"/>
      <c r="D720" s="116"/>
      <c r="E720" s="116"/>
      <c r="F720" s="116"/>
      <c r="G720" s="116"/>
      <c r="H720" s="116"/>
      <c r="I720" s="116"/>
      <c r="J720" s="116"/>
    </row>
    <row r="721" spans="1:10" ht="13.5" customHeight="1">
      <c r="A721" s="2"/>
      <c r="B721" s="116"/>
      <c r="C721" s="116"/>
      <c r="D721" s="116"/>
      <c r="E721" s="116"/>
      <c r="F721" s="116"/>
      <c r="G721" s="116"/>
      <c r="H721" s="116"/>
      <c r="I721" s="116"/>
      <c r="J721" s="116"/>
    </row>
    <row r="722" spans="1:10" ht="13.5" customHeight="1">
      <c r="A722" s="2"/>
      <c r="B722" s="116"/>
      <c r="C722" s="116"/>
      <c r="D722" s="116"/>
      <c r="E722" s="116"/>
      <c r="F722" s="116"/>
      <c r="G722" s="116"/>
      <c r="H722" s="116"/>
      <c r="I722" s="116"/>
      <c r="J722" s="116"/>
    </row>
    <row r="723" spans="1:10" ht="13.5" customHeight="1">
      <c r="A723" s="2"/>
      <c r="B723" s="116"/>
      <c r="C723" s="116"/>
      <c r="D723" s="116"/>
      <c r="E723" s="116"/>
      <c r="F723" s="116"/>
      <c r="G723" s="116"/>
      <c r="H723" s="116"/>
      <c r="I723" s="116"/>
      <c r="J723" s="116"/>
    </row>
    <row r="724" spans="1:10" ht="13.5" customHeight="1">
      <c r="A724" s="2"/>
      <c r="B724" s="116"/>
      <c r="C724" s="116"/>
      <c r="D724" s="116"/>
      <c r="E724" s="116"/>
      <c r="F724" s="116"/>
      <c r="G724" s="116"/>
      <c r="H724" s="116"/>
      <c r="I724" s="116"/>
      <c r="J724" s="116"/>
    </row>
    <row r="725" spans="1:10" ht="13.5" customHeight="1">
      <c r="A725" s="2"/>
      <c r="B725" s="116"/>
      <c r="C725" s="116"/>
      <c r="D725" s="116"/>
      <c r="E725" s="116"/>
      <c r="F725" s="116"/>
      <c r="G725" s="116"/>
      <c r="H725" s="116"/>
      <c r="I725" s="116"/>
      <c r="J725" s="116"/>
    </row>
    <row r="726" spans="1:10" ht="13.5" customHeight="1">
      <c r="A726" s="2"/>
      <c r="B726" s="116"/>
      <c r="C726" s="116"/>
      <c r="D726" s="116"/>
      <c r="E726" s="116"/>
      <c r="F726" s="116"/>
      <c r="G726" s="116"/>
      <c r="H726" s="116"/>
      <c r="I726" s="116"/>
      <c r="J726" s="116"/>
    </row>
    <row r="727" spans="1:10" ht="13.5" customHeight="1">
      <c r="A727" s="2"/>
      <c r="B727" s="116"/>
      <c r="C727" s="116"/>
      <c r="D727" s="116"/>
      <c r="E727" s="116"/>
      <c r="F727" s="116"/>
      <c r="G727" s="116"/>
      <c r="H727" s="116"/>
      <c r="I727" s="116"/>
      <c r="J727" s="116"/>
    </row>
    <row r="728" spans="1:10" ht="13.5" customHeight="1">
      <c r="A728" s="2"/>
      <c r="B728" s="116"/>
      <c r="C728" s="116"/>
      <c r="D728" s="116"/>
      <c r="E728" s="116"/>
      <c r="F728" s="116"/>
      <c r="G728" s="116"/>
      <c r="H728" s="116"/>
      <c r="I728" s="116"/>
      <c r="J728" s="116"/>
    </row>
    <row r="729" spans="1:10" ht="13.5" customHeight="1">
      <c r="A729" s="2"/>
      <c r="B729" s="116"/>
      <c r="C729" s="116"/>
      <c r="D729" s="116"/>
      <c r="E729" s="116"/>
      <c r="F729" s="116"/>
      <c r="G729" s="116"/>
      <c r="H729" s="116"/>
      <c r="I729" s="116"/>
      <c r="J729" s="116"/>
    </row>
    <row r="730" spans="1:10" ht="13.5" customHeight="1">
      <c r="A730" s="2"/>
      <c r="B730" s="116"/>
      <c r="C730" s="116"/>
      <c r="D730" s="116"/>
      <c r="E730" s="116"/>
      <c r="F730" s="116"/>
      <c r="G730" s="116"/>
      <c r="H730" s="116"/>
      <c r="I730" s="116"/>
      <c r="J730" s="116"/>
    </row>
    <row r="731" spans="1:10" ht="13.5" customHeight="1">
      <c r="A731" s="2"/>
      <c r="B731" s="116"/>
      <c r="C731" s="116"/>
      <c r="D731" s="116"/>
      <c r="E731" s="116"/>
      <c r="F731" s="116"/>
      <c r="G731" s="116"/>
      <c r="H731" s="116"/>
      <c r="I731" s="116"/>
      <c r="J731" s="116"/>
    </row>
    <row r="732" spans="1:10" ht="13.5" customHeight="1">
      <c r="A732" s="2"/>
      <c r="B732" s="116"/>
      <c r="C732" s="116"/>
      <c r="D732" s="116"/>
      <c r="E732" s="116"/>
      <c r="F732" s="116"/>
      <c r="G732" s="116"/>
      <c r="H732" s="116"/>
      <c r="I732" s="116"/>
      <c r="J732" s="116"/>
    </row>
    <row r="733" spans="1:10" ht="13.5" customHeight="1">
      <c r="A733" s="2"/>
      <c r="B733" s="116"/>
      <c r="C733" s="116"/>
      <c r="D733" s="116"/>
      <c r="E733" s="116"/>
      <c r="F733" s="116"/>
      <c r="G733" s="116"/>
      <c r="H733" s="116"/>
      <c r="I733" s="116"/>
      <c r="J733" s="116"/>
    </row>
    <row r="734" spans="1:10" ht="13.5" customHeight="1">
      <c r="A734" s="2"/>
      <c r="B734" s="116"/>
      <c r="C734" s="116"/>
      <c r="D734" s="116"/>
      <c r="E734" s="116"/>
      <c r="F734" s="116"/>
      <c r="G734" s="116"/>
      <c r="H734" s="116"/>
      <c r="I734" s="116"/>
      <c r="J734" s="116"/>
    </row>
    <row r="735" spans="1:10" ht="13.5" customHeight="1">
      <c r="A735" s="2"/>
      <c r="B735" s="116"/>
      <c r="C735" s="116"/>
      <c r="D735" s="116"/>
      <c r="E735" s="116"/>
      <c r="F735" s="116"/>
      <c r="G735" s="116"/>
      <c r="H735" s="116"/>
      <c r="I735" s="116"/>
      <c r="J735" s="116"/>
    </row>
    <row r="736" spans="1:10" ht="13.5" customHeight="1">
      <c r="A736" s="2"/>
      <c r="B736" s="116"/>
      <c r="C736" s="116"/>
      <c r="D736" s="116"/>
      <c r="E736" s="116"/>
      <c r="F736" s="116"/>
      <c r="G736" s="116"/>
      <c r="H736" s="116"/>
      <c r="I736" s="116"/>
      <c r="J736" s="116"/>
    </row>
    <row r="737" spans="1:10" ht="13.5" customHeight="1">
      <c r="A737" s="2"/>
      <c r="B737" s="116"/>
      <c r="C737" s="116"/>
      <c r="D737" s="116"/>
      <c r="E737" s="116"/>
      <c r="F737" s="116"/>
      <c r="G737" s="116"/>
      <c r="H737" s="116"/>
      <c r="I737" s="116"/>
      <c r="J737" s="116"/>
    </row>
    <row r="738" spans="1:10" ht="13.5" customHeight="1">
      <c r="A738" s="2"/>
      <c r="B738" s="116"/>
      <c r="C738" s="116"/>
      <c r="D738" s="116"/>
      <c r="E738" s="116"/>
      <c r="F738" s="116"/>
      <c r="G738" s="116"/>
      <c r="H738" s="116"/>
      <c r="I738" s="116"/>
      <c r="J738" s="116"/>
    </row>
    <row r="739" spans="1:10" ht="13.5" customHeight="1">
      <c r="A739" s="2"/>
      <c r="B739" s="116"/>
      <c r="C739" s="116"/>
      <c r="D739" s="116"/>
      <c r="E739" s="116"/>
      <c r="F739" s="116"/>
      <c r="G739" s="116"/>
      <c r="H739" s="116"/>
      <c r="I739" s="116"/>
      <c r="J739" s="116"/>
    </row>
    <row r="740" spans="1:10" ht="13.5" customHeight="1">
      <c r="A740" s="2"/>
      <c r="B740" s="116"/>
      <c r="C740" s="116"/>
      <c r="D740" s="116"/>
      <c r="E740" s="116"/>
      <c r="F740" s="116"/>
      <c r="G740" s="116"/>
      <c r="H740" s="116"/>
      <c r="I740" s="116"/>
      <c r="J740" s="116"/>
    </row>
    <row r="741" spans="1:10" ht="13.5" customHeight="1">
      <c r="A741" s="2"/>
      <c r="B741" s="116"/>
      <c r="C741" s="116"/>
      <c r="D741" s="116"/>
      <c r="E741" s="116"/>
      <c r="F741" s="116"/>
      <c r="G741" s="116"/>
      <c r="H741" s="116"/>
      <c r="I741" s="116"/>
      <c r="J741" s="116"/>
    </row>
    <row r="742" spans="1:10" ht="13.5" customHeight="1">
      <c r="A742" s="2"/>
      <c r="B742" s="116"/>
      <c r="C742" s="116"/>
      <c r="D742" s="116"/>
      <c r="E742" s="116"/>
      <c r="F742" s="116"/>
      <c r="G742" s="116"/>
      <c r="H742" s="116"/>
      <c r="I742" s="116"/>
      <c r="J742" s="116"/>
    </row>
    <row r="743" spans="1:10" ht="13.5" customHeight="1">
      <c r="A743" s="2"/>
      <c r="B743" s="116"/>
      <c r="C743" s="116"/>
      <c r="D743" s="116"/>
      <c r="E743" s="116"/>
      <c r="F743" s="116"/>
      <c r="G743" s="116"/>
      <c r="H743" s="116"/>
      <c r="I743" s="116"/>
      <c r="J743" s="116"/>
    </row>
    <row r="744" spans="1:10" ht="13.5" customHeight="1">
      <c r="A744" s="2"/>
      <c r="B744" s="116"/>
      <c r="C744" s="116"/>
      <c r="D744" s="116"/>
      <c r="E744" s="116"/>
      <c r="F744" s="116"/>
      <c r="G744" s="116"/>
      <c r="H744" s="116"/>
      <c r="I744" s="116"/>
      <c r="J744" s="116"/>
    </row>
    <row r="745" spans="1:10" ht="13.5" customHeight="1">
      <c r="A745" s="2"/>
      <c r="B745" s="116"/>
      <c r="C745" s="116"/>
      <c r="D745" s="116"/>
      <c r="E745" s="116"/>
      <c r="F745" s="116"/>
      <c r="G745" s="116"/>
      <c r="H745" s="116"/>
      <c r="I745" s="116"/>
      <c r="J745" s="116"/>
    </row>
    <row r="746" spans="1:10" ht="13.5" customHeight="1">
      <c r="A746" s="2"/>
      <c r="B746" s="116"/>
      <c r="C746" s="116"/>
      <c r="D746" s="116"/>
      <c r="E746" s="116"/>
      <c r="F746" s="116"/>
      <c r="G746" s="116"/>
      <c r="H746" s="116"/>
      <c r="I746" s="116"/>
      <c r="J746" s="116"/>
    </row>
    <row r="747" spans="1:10" ht="13.5" customHeight="1">
      <c r="A747" s="2"/>
      <c r="B747" s="116"/>
      <c r="C747" s="116"/>
      <c r="D747" s="116"/>
      <c r="E747" s="116"/>
      <c r="F747" s="116"/>
      <c r="G747" s="116"/>
      <c r="H747" s="116"/>
      <c r="I747" s="116"/>
      <c r="J747" s="116"/>
    </row>
    <row r="748" spans="1:10" ht="13.5" customHeight="1">
      <c r="A748" s="2"/>
      <c r="B748" s="116"/>
      <c r="C748" s="116"/>
      <c r="D748" s="116"/>
      <c r="E748" s="116"/>
      <c r="F748" s="116"/>
      <c r="G748" s="116"/>
      <c r="H748" s="116"/>
      <c r="I748" s="116"/>
      <c r="J748" s="116"/>
    </row>
    <row r="749" spans="1:10" ht="13.5" customHeight="1">
      <c r="A749" s="2"/>
      <c r="B749" s="116"/>
      <c r="C749" s="116"/>
      <c r="D749" s="116"/>
      <c r="E749" s="116"/>
      <c r="F749" s="116"/>
      <c r="G749" s="116"/>
      <c r="H749" s="116"/>
      <c r="I749" s="116"/>
      <c r="J749" s="116"/>
    </row>
    <row r="750" spans="1:10" ht="13.5" customHeight="1">
      <c r="A750" s="2"/>
      <c r="B750" s="116"/>
      <c r="C750" s="116"/>
      <c r="D750" s="116"/>
      <c r="E750" s="116"/>
      <c r="F750" s="116"/>
      <c r="G750" s="116"/>
      <c r="H750" s="116"/>
      <c r="I750" s="116"/>
      <c r="J750" s="116"/>
    </row>
    <row r="751" spans="1:10" ht="13.5" customHeight="1">
      <c r="A751" s="2"/>
      <c r="B751" s="116"/>
      <c r="C751" s="116"/>
      <c r="D751" s="116"/>
      <c r="E751" s="116"/>
      <c r="F751" s="116"/>
      <c r="G751" s="116"/>
      <c r="H751" s="116"/>
      <c r="I751" s="116"/>
      <c r="J751" s="116"/>
    </row>
    <row r="752" spans="1:10" ht="13.5" customHeight="1">
      <c r="A752" s="2"/>
      <c r="B752" s="116"/>
      <c r="C752" s="116"/>
      <c r="D752" s="116"/>
      <c r="E752" s="116"/>
      <c r="F752" s="116"/>
      <c r="G752" s="116"/>
      <c r="H752" s="116"/>
      <c r="I752" s="116"/>
      <c r="J752" s="116"/>
    </row>
    <row r="753" spans="1:10" ht="13.5" customHeight="1">
      <c r="A753" s="2"/>
      <c r="B753" s="116"/>
      <c r="C753" s="116"/>
      <c r="D753" s="116"/>
      <c r="E753" s="116"/>
      <c r="F753" s="116"/>
      <c r="G753" s="116"/>
      <c r="H753" s="116"/>
      <c r="I753" s="116"/>
      <c r="J753" s="116"/>
    </row>
    <row r="754" spans="1:10" ht="13.5" customHeight="1">
      <c r="A754" s="2"/>
      <c r="B754" s="116"/>
      <c r="C754" s="116"/>
      <c r="D754" s="116"/>
      <c r="E754" s="116"/>
      <c r="F754" s="116"/>
      <c r="G754" s="116"/>
      <c r="H754" s="116"/>
      <c r="I754" s="116"/>
      <c r="J754" s="116"/>
    </row>
    <row r="755" spans="1:10" ht="13.5" customHeight="1">
      <c r="A755" s="2"/>
      <c r="B755" s="116"/>
      <c r="C755" s="116"/>
      <c r="D755" s="116"/>
      <c r="E755" s="116"/>
      <c r="F755" s="116"/>
      <c r="G755" s="116"/>
      <c r="H755" s="116"/>
      <c r="I755" s="116"/>
      <c r="J755" s="116"/>
    </row>
    <row r="756" spans="1:10" ht="13.5" customHeight="1">
      <c r="A756" s="2"/>
      <c r="B756" s="116"/>
      <c r="C756" s="116"/>
      <c r="D756" s="116"/>
      <c r="E756" s="116"/>
      <c r="F756" s="116"/>
      <c r="G756" s="116"/>
      <c r="H756" s="116"/>
      <c r="I756" s="116"/>
      <c r="J756" s="116"/>
    </row>
    <row r="757" spans="1:10" ht="13.5" customHeight="1">
      <c r="A757" s="2"/>
      <c r="B757" s="116"/>
      <c r="C757" s="116"/>
      <c r="D757" s="116"/>
      <c r="E757" s="116"/>
      <c r="F757" s="116"/>
      <c r="G757" s="116"/>
      <c r="H757" s="116"/>
      <c r="I757" s="116"/>
      <c r="J757" s="116"/>
    </row>
    <row r="758" spans="1:10" ht="13.5" customHeight="1">
      <c r="A758" s="2"/>
      <c r="B758" s="116"/>
      <c r="C758" s="116"/>
      <c r="D758" s="116"/>
      <c r="E758" s="116"/>
      <c r="F758" s="116"/>
      <c r="G758" s="116"/>
      <c r="H758" s="116"/>
      <c r="I758" s="116"/>
      <c r="J758" s="116"/>
    </row>
    <row r="759" spans="1:10" ht="13.5" customHeight="1">
      <c r="A759" s="2"/>
      <c r="B759" s="116"/>
      <c r="C759" s="116"/>
      <c r="D759" s="116"/>
      <c r="E759" s="116"/>
      <c r="F759" s="116"/>
      <c r="G759" s="116"/>
      <c r="H759" s="116"/>
      <c r="I759" s="116"/>
      <c r="J759" s="116"/>
    </row>
    <row r="760" spans="1:10" ht="13.5" customHeight="1">
      <c r="A760" s="2"/>
      <c r="B760" s="116"/>
      <c r="C760" s="116"/>
      <c r="D760" s="116"/>
      <c r="E760" s="116"/>
      <c r="F760" s="116"/>
      <c r="G760" s="116"/>
      <c r="H760" s="116"/>
      <c r="I760" s="116"/>
      <c r="J760" s="116"/>
    </row>
    <row r="761" spans="1:10" ht="13.5" customHeight="1">
      <c r="A761" s="2"/>
      <c r="B761" s="116"/>
      <c r="C761" s="116"/>
      <c r="D761" s="116"/>
      <c r="E761" s="116"/>
      <c r="F761" s="116"/>
      <c r="G761" s="116"/>
      <c r="H761" s="116"/>
      <c r="I761" s="116"/>
      <c r="J761" s="116"/>
    </row>
    <row r="762" spans="1:10" ht="13.5" customHeight="1">
      <c r="A762" s="2"/>
      <c r="B762" s="116"/>
      <c r="C762" s="116"/>
      <c r="D762" s="116"/>
      <c r="E762" s="116"/>
      <c r="F762" s="116"/>
      <c r="G762" s="116"/>
      <c r="H762" s="116"/>
      <c r="I762" s="116"/>
      <c r="J762" s="116"/>
    </row>
    <row r="763" spans="1:10" ht="13.5" customHeight="1">
      <c r="A763" s="2"/>
      <c r="B763" s="116"/>
      <c r="C763" s="116"/>
      <c r="D763" s="116"/>
      <c r="E763" s="116"/>
      <c r="F763" s="116"/>
      <c r="G763" s="116"/>
      <c r="H763" s="116"/>
      <c r="I763" s="116"/>
      <c r="J763" s="116"/>
    </row>
    <row r="764" spans="1:10" ht="13.5" customHeight="1">
      <c r="A764" s="2"/>
      <c r="B764" s="116"/>
      <c r="C764" s="116"/>
      <c r="D764" s="116"/>
      <c r="E764" s="116"/>
      <c r="F764" s="116"/>
      <c r="G764" s="116"/>
      <c r="H764" s="116"/>
      <c r="I764" s="116"/>
      <c r="J764" s="116"/>
    </row>
    <row r="765" spans="1:10" ht="13.5" customHeight="1">
      <c r="A765" s="2"/>
      <c r="B765" s="116"/>
      <c r="C765" s="116"/>
      <c r="D765" s="116"/>
      <c r="E765" s="116"/>
      <c r="F765" s="116"/>
      <c r="G765" s="116"/>
      <c r="H765" s="116"/>
      <c r="I765" s="116"/>
      <c r="J765" s="116"/>
    </row>
    <row r="766" spans="1:10" ht="13.5" customHeight="1">
      <c r="A766" s="2"/>
      <c r="B766" s="116"/>
      <c r="C766" s="116"/>
      <c r="D766" s="116"/>
      <c r="E766" s="116"/>
      <c r="F766" s="116"/>
      <c r="G766" s="116"/>
      <c r="H766" s="116"/>
      <c r="I766" s="116"/>
      <c r="J766" s="116"/>
    </row>
    <row r="767" spans="1:10" ht="13.5" customHeight="1">
      <c r="A767" s="2"/>
      <c r="B767" s="116"/>
      <c r="C767" s="116"/>
      <c r="D767" s="116"/>
      <c r="E767" s="116"/>
      <c r="F767" s="116"/>
      <c r="G767" s="116"/>
      <c r="H767" s="116"/>
      <c r="I767" s="116"/>
      <c r="J767" s="116"/>
    </row>
    <row r="768" spans="1:10" ht="13.5" customHeight="1">
      <c r="A768" s="2"/>
      <c r="B768" s="116"/>
      <c r="C768" s="116"/>
      <c r="D768" s="116"/>
      <c r="E768" s="116"/>
      <c r="F768" s="116"/>
      <c r="G768" s="116"/>
      <c r="H768" s="116"/>
      <c r="I768" s="116"/>
      <c r="J768" s="116"/>
    </row>
    <row r="769" spans="1:10" ht="13.5" customHeight="1">
      <c r="A769" s="2"/>
      <c r="B769" s="116"/>
      <c r="C769" s="116"/>
      <c r="D769" s="116"/>
      <c r="E769" s="116"/>
      <c r="F769" s="116"/>
      <c r="G769" s="116"/>
      <c r="H769" s="116"/>
      <c r="I769" s="116"/>
      <c r="J769" s="116"/>
    </row>
    <row r="770" spans="1:10" ht="13.5" customHeight="1">
      <c r="A770" s="2"/>
      <c r="B770" s="116"/>
      <c r="C770" s="116"/>
      <c r="D770" s="116"/>
      <c r="E770" s="116"/>
      <c r="F770" s="116"/>
      <c r="G770" s="116"/>
      <c r="H770" s="116"/>
      <c r="I770" s="116"/>
      <c r="J770" s="116"/>
    </row>
    <row r="771" spans="1:10" ht="13.5" customHeight="1">
      <c r="A771" s="2"/>
      <c r="B771" s="116"/>
      <c r="C771" s="116"/>
      <c r="D771" s="116"/>
      <c r="E771" s="116"/>
      <c r="F771" s="116"/>
      <c r="G771" s="116"/>
      <c r="H771" s="116"/>
      <c r="I771" s="116"/>
      <c r="J771" s="116"/>
    </row>
    <row r="772" spans="1:10" ht="13.5" customHeight="1">
      <c r="A772" s="2"/>
      <c r="B772" s="116"/>
      <c r="C772" s="116"/>
      <c r="D772" s="116"/>
      <c r="E772" s="116"/>
      <c r="F772" s="116"/>
      <c r="G772" s="116"/>
      <c r="H772" s="116"/>
      <c r="I772" s="116"/>
      <c r="J772" s="116"/>
    </row>
    <row r="773" spans="1:10" ht="13.5" customHeight="1">
      <c r="A773" s="2"/>
      <c r="B773" s="116"/>
      <c r="C773" s="116"/>
      <c r="D773" s="116"/>
      <c r="E773" s="116"/>
      <c r="F773" s="116"/>
      <c r="G773" s="116"/>
      <c r="H773" s="116"/>
      <c r="I773" s="116"/>
      <c r="J773" s="116"/>
    </row>
    <row r="774" spans="1:10" ht="13.5" customHeight="1">
      <c r="A774" s="2"/>
      <c r="B774" s="116"/>
      <c r="C774" s="116"/>
      <c r="D774" s="116"/>
      <c r="E774" s="116"/>
      <c r="F774" s="116"/>
      <c r="G774" s="116"/>
      <c r="H774" s="116"/>
      <c r="I774" s="116"/>
      <c r="J774" s="116"/>
    </row>
    <row r="775" spans="1:10" ht="13.5" customHeight="1">
      <c r="A775" s="2"/>
      <c r="B775" s="116"/>
      <c r="C775" s="116"/>
      <c r="D775" s="116"/>
      <c r="E775" s="116"/>
      <c r="F775" s="116"/>
      <c r="G775" s="116"/>
      <c r="H775" s="116"/>
      <c r="I775" s="116"/>
      <c r="J775" s="116"/>
    </row>
    <row r="776" spans="1:10" ht="13.5" customHeight="1">
      <c r="A776" s="2"/>
      <c r="B776" s="116"/>
      <c r="C776" s="116"/>
      <c r="D776" s="116"/>
      <c r="E776" s="116"/>
      <c r="F776" s="116"/>
      <c r="G776" s="116"/>
      <c r="H776" s="116"/>
      <c r="I776" s="116"/>
      <c r="J776" s="116"/>
    </row>
    <row r="777" spans="1:10" ht="13.5" customHeight="1">
      <c r="A777" s="2"/>
      <c r="B777" s="116"/>
      <c r="C777" s="116"/>
      <c r="D777" s="116"/>
      <c r="E777" s="116"/>
      <c r="F777" s="116"/>
      <c r="G777" s="116"/>
      <c r="H777" s="116"/>
      <c r="I777" s="116"/>
      <c r="J777" s="116"/>
    </row>
    <row r="778" spans="1:10" ht="13.5" customHeight="1">
      <c r="A778" s="2"/>
      <c r="B778" s="116"/>
      <c r="C778" s="116"/>
      <c r="D778" s="116"/>
      <c r="E778" s="116"/>
      <c r="F778" s="116"/>
      <c r="G778" s="116"/>
      <c r="H778" s="116"/>
      <c r="I778" s="116"/>
      <c r="J778" s="116"/>
    </row>
    <row r="779" spans="1:10" ht="13.5" customHeight="1">
      <c r="A779" s="2"/>
      <c r="B779" s="116"/>
      <c r="C779" s="116"/>
      <c r="D779" s="116"/>
      <c r="E779" s="116"/>
      <c r="F779" s="116"/>
      <c r="G779" s="116"/>
      <c r="H779" s="116"/>
      <c r="I779" s="116"/>
      <c r="J779" s="116"/>
    </row>
    <row r="780" spans="1:10" ht="13.5" customHeight="1">
      <c r="A780" s="2"/>
      <c r="B780" s="116"/>
      <c r="C780" s="116"/>
      <c r="D780" s="116"/>
      <c r="E780" s="116"/>
      <c r="F780" s="116"/>
      <c r="G780" s="116"/>
      <c r="H780" s="116"/>
      <c r="I780" s="116"/>
      <c r="J780" s="116"/>
    </row>
    <row r="781" spans="1:10" ht="13.5" customHeight="1">
      <c r="A781" s="2"/>
      <c r="B781" s="116"/>
      <c r="C781" s="116"/>
      <c r="D781" s="116"/>
      <c r="E781" s="116"/>
      <c r="F781" s="116"/>
      <c r="G781" s="116"/>
      <c r="H781" s="116"/>
      <c r="I781" s="116"/>
      <c r="J781" s="116"/>
    </row>
    <row r="782" spans="1:10" ht="13.5" customHeight="1">
      <c r="A782" s="2"/>
      <c r="B782" s="116"/>
      <c r="C782" s="116"/>
      <c r="D782" s="116"/>
      <c r="E782" s="116"/>
      <c r="F782" s="116"/>
      <c r="G782" s="116"/>
      <c r="H782" s="116"/>
      <c r="I782" s="116"/>
      <c r="J782" s="116"/>
    </row>
    <row r="783" spans="1:10" ht="13.5" customHeight="1">
      <c r="A783" s="2"/>
      <c r="B783" s="116"/>
      <c r="C783" s="116"/>
      <c r="D783" s="116"/>
      <c r="E783" s="116"/>
      <c r="F783" s="116"/>
      <c r="G783" s="116"/>
      <c r="H783" s="116"/>
      <c r="I783" s="116"/>
      <c r="J783" s="116"/>
    </row>
    <row r="784" spans="1:10" ht="13.5" customHeight="1">
      <c r="A784" s="2"/>
      <c r="B784" s="116"/>
      <c r="C784" s="116"/>
      <c r="D784" s="116"/>
      <c r="E784" s="116"/>
      <c r="F784" s="116"/>
      <c r="G784" s="116"/>
      <c r="H784" s="116"/>
      <c r="I784" s="116"/>
      <c r="J784" s="116"/>
    </row>
    <row r="785" spans="1:10" ht="13.5" customHeight="1">
      <c r="A785" s="2"/>
      <c r="B785" s="116"/>
      <c r="C785" s="116"/>
      <c r="D785" s="116"/>
      <c r="E785" s="116"/>
      <c r="F785" s="116"/>
      <c r="G785" s="116"/>
      <c r="H785" s="116"/>
      <c r="I785" s="116"/>
      <c r="J785" s="116"/>
    </row>
    <row r="786" spans="1:10" ht="13.5" customHeight="1">
      <c r="A786" s="2"/>
      <c r="B786" s="116"/>
      <c r="C786" s="116"/>
      <c r="D786" s="116"/>
      <c r="E786" s="116"/>
      <c r="F786" s="116"/>
      <c r="G786" s="116"/>
      <c r="H786" s="116"/>
      <c r="I786" s="116"/>
      <c r="J786" s="116"/>
    </row>
    <row r="787" spans="1:10" ht="13.5" customHeight="1">
      <c r="A787" s="2"/>
      <c r="B787" s="116"/>
      <c r="C787" s="116"/>
      <c r="D787" s="116"/>
      <c r="E787" s="116"/>
      <c r="F787" s="116"/>
      <c r="G787" s="116"/>
      <c r="H787" s="116"/>
      <c r="I787" s="116"/>
      <c r="J787" s="116"/>
    </row>
    <row r="788" spans="1:10" ht="13.5" customHeight="1">
      <c r="A788" s="2"/>
      <c r="B788" s="116"/>
      <c r="C788" s="116"/>
      <c r="D788" s="116"/>
      <c r="E788" s="116"/>
      <c r="F788" s="116"/>
      <c r="G788" s="116"/>
      <c r="H788" s="116"/>
      <c r="I788" s="116"/>
      <c r="J788" s="116"/>
    </row>
    <row r="789" spans="1:10" ht="13.5" customHeight="1">
      <c r="A789" s="2"/>
      <c r="B789" s="116"/>
      <c r="C789" s="116"/>
      <c r="D789" s="116"/>
      <c r="E789" s="116"/>
      <c r="F789" s="116"/>
      <c r="G789" s="116"/>
      <c r="H789" s="116"/>
      <c r="I789" s="116"/>
      <c r="J789" s="116"/>
    </row>
    <row r="790" spans="1:10" ht="13.5" customHeight="1">
      <c r="A790" s="2"/>
      <c r="B790" s="116"/>
      <c r="C790" s="116"/>
      <c r="D790" s="116"/>
      <c r="E790" s="116"/>
      <c r="F790" s="116"/>
      <c r="G790" s="116"/>
      <c r="H790" s="116"/>
      <c r="I790" s="116"/>
      <c r="J790" s="116"/>
    </row>
    <row r="791" spans="1:10" ht="13.5" customHeight="1">
      <c r="A791" s="2"/>
      <c r="B791" s="116"/>
      <c r="C791" s="116"/>
      <c r="D791" s="116"/>
      <c r="E791" s="116"/>
      <c r="F791" s="116"/>
      <c r="G791" s="116"/>
      <c r="H791" s="116"/>
      <c r="I791" s="116"/>
      <c r="J791" s="116"/>
    </row>
    <row r="792" spans="1:10" ht="13.5" customHeight="1">
      <c r="A792" s="2"/>
      <c r="B792" s="116"/>
      <c r="C792" s="116"/>
      <c r="D792" s="116"/>
      <c r="E792" s="116"/>
      <c r="F792" s="116"/>
      <c r="G792" s="116"/>
      <c r="H792" s="116"/>
      <c r="I792" s="116"/>
      <c r="J792" s="116"/>
    </row>
    <row r="793" spans="1:10" ht="13.5" customHeight="1">
      <c r="A793" s="2"/>
      <c r="B793" s="116"/>
      <c r="C793" s="116"/>
      <c r="D793" s="116"/>
      <c r="E793" s="116"/>
      <c r="F793" s="116"/>
      <c r="G793" s="116"/>
      <c r="H793" s="116"/>
      <c r="I793" s="116"/>
      <c r="J793" s="116"/>
    </row>
    <row r="794" spans="1:10" ht="13.5" customHeight="1">
      <c r="A794" s="2"/>
      <c r="B794" s="116"/>
      <c r="C794" s="116"/>
      <c r="D794" s="116"/>
      <c r="E794" s="116"/>
      <c r="F794" s="116"/>
      <c r="G794" s="116"/>
      <c r="H794" s="116"/>
      <c r="I794" s="116"/>
      <c r="J794" s="116"/>
    </row>
    <row r="795" spans="1:10" ht="13.5" customHeight="1">
      <c r="A795" s="2"/>
      <c r="B795" s="116"/>
      <c r="C795" s="116"/>
      <c r="D795" s="116"/>
      <c r="E795" s="116"/>
      <c r="F795" s="116"/>
      <c r="G795" s="116"/>
      <c r="H795" s="116"/>
      <c r="I795" s="116"/>
      <c r="J795" s="116"/>
    </row>
    <row r="796" spans="1:10" ht="13.5" customHeight="1">
      <c r="A796" s="2"/>
      <c r="B796" s="116"/>
      <c r="C796" s="116"/>
      <c r="D796" s="116"/>
      <c r="E796" s="116"/>
      <c r="F796" s="116"/>
      <c r="G796" s="116"/>
      <c r="H796" s="116"/>
      <c r="I796" s="116"/>
      <c r="J796" s="116"/>
    </row>
    <row r="797" spans="1:10" ht="13.5" customHeight="1">
      <c r="A797" s="2"/>
      <c r="B797" s="116"/>
      <c r="C797" s="116"/>
      <c r="D797" s="116"/>
      <c r="E797" s="116"/>
      <c r="F797" s="116"/>
      <c r="G797" s="116"/>
      <c r="H797" s="116"/>
      <c r="I797" s="116"/>
      <c r="J797" s="116"/>
    </row>
    <row r="798" spans="1:10" ht="13.5" customHeight="1">
      <c r="A798" s="2"/>
      <c r="B798" s="116"/>
      <c r="C798" s="116"/>
      <c r="D798" s="116"/>
      <c r="E798" s="116"/>
      <c r="F798" s="116"/>
      <c r="G798" s="116"/>
      <c r="H798" s="116"/>
      <c r="I798" s="116"/>
      <c r="J798" s="116"/>
    </row>
    <row r="799" spans="1:10" ht="13.5" customHeight="1">
      <c r="A799" s="2"/>
      <c r="B799" s="116"/>
      <c r="C799" s="116"/>
      <c r="D799" s="116"/>
      <c r="E799" s="116"/>
      <c r="F799" s="116"/>
      <c r="G799" s="116"/>
      <c r="H799" s="116"/>
      <c r="I799" s="116"/>
      <c r="J799" s="116"/>
    </row>
    <row r="800" spans="1:10" ht="13.5" customHeight="1">
      <c r="A800" s="2"/>
      <c r="B800" s="116"/>
      <c r="C800" s="116"/>
      <c r="D800" s="116"/>
      <c r="E800" s="116"/>
      <c r="F800" s="116"/>
      <c r="G800" s="116"/>
      <c r="H800" s="116"/>
      <c r="I800" s="116"/>
      <c r="J800" s="116"/>
    </row>
    <row r="801" spans="1:10" ht="13.5" customHeight="1">
      <c r="A801" s="2"/>
      <c r="B801" s="116"/>
      <c r="C801" s="116"/>
      <c r="D801" s="116"/>
      <c r="E801" s="116"/>
      <c r="F801" s="116"/>
      <c r="G801" s="116"/>
      <c r="H801" s="116"/>
      <c r="I801" s="116"/>
      <c r="J801" s="116"/>
    </row>
    <row r="802" spans="1:10" ht="13.5" customHeight="1">
      <c r="A802" s="2"/>
      <c r="B802" s="116"/>
      <c r="C802" s="116"/>
      <c r="D802" s="116"/>
      <c r="E802" s="116"/>
      <c r="F802" s="116"/>
      <c r="G802" s="116"/>
      <c r="H802" s="116"/>
      <c r="I802" s="116"/>
      <c r="J802" s="116"/>
    </row>
    <row r="803" spans="1:10" ht="13.5" customHeight="1">
      <c r="A803" s="2"/>
      <c r="B803" s="116"/>
      <c r="C803" s="116"/>
      <c r="D803" s="116"/>
      <c r="E803" s="116"/>
      <c r="F803" s="116"/>
      <c r="G803" s="116"/>
      <c r="H803" s="116"/>
      <c r="I803" s="116"/>
      <c r="J803" s="116"/>
    </row>
    <row r="804" spans="1:10" ht="13.5" customHeight="1">
      <c r="A804" s="2"/>
      <c r="B804" s="116"/>
      <c r="C804" s="116"/>
      <c r="D804" s="116"/>
      <c r="E804" s="116"/>
      <c r="F804" s="116"/>
      <c r="G804" s="116"/>
      <c r="H804" s="116"/>
      <c r="I804" s="116"/>
      <c r="J804" s="116"/>
    </row>
    <row r="805" spans="1:10" ht="13.5" customHeight="1">
      <c r="A805" s="2"/>
      <c r="B805" s="116"/>
      <c r="C805" s="116"/>
      <c r="D805" s="116"/>
      <c r="E805" s="116"/>
      <c r="F805" s="116"/>
      <c r="G805" s="116"/>
      <c r="H805" s="116"/>
      <c r="I805" s="116"/>
      <c r="J805" s="116"/>
    </row>
    <row r="806" spans="1:10" ht="13.5" customHeight="1">
      <c r="A806" s="2"/>
      <c r="B806" s="116"/>
      <c r="C806" s="116"/>
      <c r="D806" s="116"/>
      <c r="E806" s="116"/>
      <c r="F806" s="116"/>
      <c r="G806" s="116"/>
      <c r="H806" s="116"/>
      <c r="I806" s="116"/>
      <c r="J806" s="116"/>
    </row>
    <row r="807" spans="1:10" ht="13.5" customHeight="1">
      <c r="A807" s="2"/>
      <c r="B807" s="116"/>
      <c r="C807" s="116"/>
      <c r="D807" s="116"/>
      <c r="E807" s="116"/>
      <c r="F807" s="116"/>
      <c r="G807" s="116"/>
      <c r="H807" s="116"/>
      <c r="I807" s="116"/>
      <c r="J807" s="116"/>
    </row>
    <row r="808" spans="1:10" ht="13.5" customHeight="1">
      <c r="A808" s="2"/>
      <c r="B808" s="116"/>
      <c r="C808" s="116"/>
      <c r="D808" s="116"/>
      <c r="E808" s="116"/>
      <c r="F808" s="116"/>
      <c r="G808" s="116"/>
      <c r="H808" s="116"/>
      <c r="I808" s="116"/>
      <c r="J808" s="116"/>
    </row>
    <row r="809" spans="1:10" ht="13.5" customHeight="1">
      <c r="A809" s="2"/>
      <c r="B809" s="116"/>
      <c r="C809" s="116"/>
      <c r="D809" s="116"/>
      <c r="E809" s="116"/>
      <c r="F809" s="116"/>
      <c r="G809" s="116"/>
      <c r="H809" s="116"/>
      <c r="I809" s="116"/>
      <c r="J809" s="116"/>
    </row>
    <row r="810" spans="1:10" ht="13.5" customHeight="1">
      <c r="A810" s="2"/>
      <c r="B810" s="116"/>
      <c r="C810" s="116"/>
      <c r="D810" s="116"/>
      <c r="E810" s="116"/>
      <c r="F810" s="116"/>
      <c r="G810" s="116"/>
      <c r="H810" s="116"/>
      <c r="I810" s="116"/>
      <c r="J810" s="116"/>
    </row>
    <row r="811" spans="1:10" ht="13.5" customHeight="1">
      <c r="A811" s="2"/>
      <c r="B811" s="116"/>
      <c r="C811" s="116"/>
      <c r="D811" s="116"/>
      <c r="E811" s="116"/>
      <c r="F811" s="116"/>
      <c r="G811" s="116"/>
      <c r="H811" s="116"/>
      <c r="I811" s="116"/>
      <c r="J811" s="116"/>
    </row>
    <row r="812" spans="1:10" ht="13.5" customHeight="1">
      <c r="A812" s="2"/>
      <c r="B812" s="116"/>
      <c r="C812" s="116"/>
      <c r="D812" s="116"/>
      <c r="E812" s="116"/>
      <c r="F812" s="116"/>
      <c r="G812" s="116"/>
      <c r="H812" s="116"/>
      <c r="I812" s="116"/>
      <c r="J812" s="116"/>
    </row>
    <row r="813" spans="1:10" ht="13.5" customHeight="1">
      <c r="A813" s="2"/>
      <c r="B813" s="116"/>
      <c r="C813" s="116"/>
      <c r="D813" s="116"/>
      <c r="E813" s="116"/>
      <c r="F813" s="116"/>
      <c r="G813" s="116"/>
      <c r="H813" s="116"/>
      <c r="I813" s="116"/>
      <c r="J813" s="116"/>
    </row>
    <row r="814" spans="1:10" ht="13.5" customHeight="1">
      <c r="A814" s="2"/>
      <c r="B814" s="116"/>
      <c r="C814" s="116"/>
      <c r="D814" s="116"/>
      <c r="E814" s="116"/>
      <c r="F814" s="116"/>
      <c r="G814" s="116"/>
      <c r="H814" s="116"/>
      <c r="I814" s="116"/>
      <c r="J814" s="116"/>
    </row>
    <row r="815" spans="1:10" ht="13.5" customHeight="1">
      <c r="A815" s="2"/>
      <c r="B815" s="116"/>
      <c r="C815" s="116"/>
      <c r="D815" s="116"/>
      <c r="E815" s="116"/>
      <c r="F815" s="116"/>
      <c r="G815" s="116"/>
      <c r="H815" s="116"/>
      <c r="I815" s="116"/>
      <c r="J815" s="116"/>
    </row>
    <row r="816" spans="1:10" ht="13.5" customHeight="1">
      <c r="A816" s="2"/>
      <c r="B816" s="116"/>
      <c r="C816" s="116"/>
      <c r="D816" s="116"/>
      <c r="E816" s="116"/>
      <c r="F816" s="116"/>
      <c r="G816" s="116"/>
      <c r="H816" s="116"/>
      <c r="I816" s="116"/>
      <c r="J816" s="116"/>
    </row>
    <row r="817" spans="1:10" ht="13.5" customHeight="1">
      <c r="A817" s="2"/>
      <c r="B817" s="116"/>
      <c r="C817" s="116"/>
      <c r="D817" s="116"/>
      <c r="E817" s="116"/>
      <c r="F817" s="116"/>
      <c r="G817" s="116"/>
      <c r="H817" s="116"/>
      <c r="I817" s="116"/>
      <c r="J817" s="116"/>
    </row>
    <row r="818" spans="1:10" ht="13.5" customHeight="1">
      <c r="A818" s="2"/>
      <c r="B818" s="116"/>
      <c r="C818" s="116"/>
      <c r="D818" s="116"/>
      <c r="E818" s="116"/>
      <c r="F818" s="116"/>
      <c r="G818" s="116"/>
      <c r="H818" s="116"/>
      <c r="I818" s="116"/>
      <c r="J818" s="116"/>
    </row>
    <row r="819" spans="1:10" ht="13.5" customHeight="1">
      <c r="A819" s="2"/>
      <c r="B819" s="116"/>
      <c r="C819" s="116"/>
      <c r="D819" s="116"/>
      <c r="E819" s="116"/>
      <c r="F819" s="116"/>
      <c r="G819" s="116"/>
      <c r="H819" s="116"/>
      <c r="I819" s="116"/>
      <c r="J819" s="116"/>
    </row>
    <row r="820" spans="1:10" ht="13.5" customHeight="1">
      <c r="A820" s="2"/>
      <c r="B820" s="116"/>
      <c r="C820" s="116"/>
      <c r="D820" s="116"/>
      <c r="E820" s="116"/>
      <c r="F820" s="116"/>
      <c r="G820" s="116"/>
      <c r="H820" s="116"/>
      <c r="I820" s="116"/>
      <c r="J820" s="116"/>
    </row>
    <row r="821" spans="1:10" ht="13.5" customHeight="1">
      <c r="A821" s="2"/>
      <c r="B821" s="116"/>
      <c r="C821" s="116"/>
      <c r="D821" s="116"/>
      <c r="E821" s="116"/>
      <c r="F821" s="116"/>
      <c r="G821" s="116"/>
      <c r="H821" s="116"/>
      <c r="I821" s="116"/>
      <c r="J821" s="116"/>
    </row>
    <row r="822" spans="1:10" ht="13.5" customHeight="1">
      <c r="A822" s="2"/>
      <c r="B822" s="116"/>
      <c r="C822" s="116"/>
      <c r="D822" s="116"/>
      <c r="E822" s="116"/>
      <c r="F822" s="116"/>
      <c r="G822" s="116"/>
      <c r="H822" s="116"/>
      <c r="I822" s="116"/>
      <c r="J822" s="116"/>
    </row>
    <row r="823" spans="1:10" ht="13.5" customHeight="1">
      <c r="A823" s="2"/>
      <c r="B823" s="116"/>
      <c r="C823" s="116"/>
      <c r="D823" s="116"/>
      <c r="E823" s="116"/>
      <c r="F823" s="116"/>
      <c r="G823" s="116"/>
      <c r="H823" s="116"/>
      <c r="I823" s="116"/>
      <c r="J823" s="116"/>
    </row>
    <row r="824" spans="1:10" ht="13.5" customHeight="1">
      <c r="A824" s="2"/>
      <c r="B824" s="116"/>
      <c r="C824" s="116"/>
      <c r="D824" s="116"/>
      <c r="E824" s="116"/>
      <c r="F824" s="116"/>
      <c r="G824" s="116"/>
      <c r="H824" s="116"/>
      <c r="I824" s="116"/>
      <c r="J824" s="116"/>
    </row>
    <row r="825" spans="1:10" ht="13.5" customHeight="1">
      <c r="A825" s="2"/>
      <c r="B825" s="116"/>
      <c r="C825" s="116"/>
      <c r="D825" s="116"/>
      <c r="E825" s="116"/>
      <c r="F825" s="116"/>
      <c r="G825" s="116"/>
      <c r="H825" s="116"/>
      <c r="I825" s="116"/>
      <c r="J825" s="116"/>
    </row>
    <row r="826" spans="1:10" ht="13.5" customHeight="1">
      <c r="A826" s="2"/>
      <c r="B826" s="116"/>
      <c r="C826" s="116"/>
      <c r="D826" s="116"/>
      <c r="E826" s="116"/>
      <c r="F826" s="116"/>
      <c r="G826" s="116"/>
      <c r="H826" s="116"/>
      <c r="I826" s="116"/>
      <c r="J826" s="116"/>
    </row>
    <row r="827" spans="1:10" ht="13.5" customHeight="1">
      <c r="A827" s="2"/>
      <c r="B827" s="116"/>
      <c r="C827" s="116"/>
      <c r="D827" s="116"/>
      <c r="E827" s="116"/>
      <c r="F827" s="116"/>
      <c r="G827" s="116"/>
      <c r="H827" s="116"/>
      <c r="I827" s="116"/>
      <c r="J827" s="116"/>
    </row>
    <row r="828" spans="1:10" ht="13.5" customHeight="1">
      <c r="A828" s="2"/>
      <c r="B828" s="116"/>
      <c r="C828" s="116"/>
      <c r="D828" s="116"/>
      <c r="E828" s="116"/>
      <c r="F828" s="116"/>
      <c r="G828" s="116"/>
      <c r="H828" s="116"/>
      <c r="I828" s="116"/>
      <c r="J828" s="116"/>
    </row>
    <row r="829" spans="1:10" ht="13.5" customHeight="1">
      <c r="A829" s="2"/>
      <c r="B829" s="116"/>
      <c r="C829" s="116"/>
      <c r="D829" s="116"/>
      <c r="E829" s="116"/>
      <c r="F829" s="116"/>
      <c r="G829" s="116"/>
      <c r="H829" s="116"/>
      <c r="I829" s="116"/>
      <c r="J829" s="116"/>
    </row>
    <row r="830" spans="1:10" ht="13.5" customHeight="1">
      <c r="A830" s="2"/>
      <c r="B830" s="116"/>
      <c r="C830" s="116"/>
      <c r="D830" s="116"/>
      <c r="E830" s="116"/>
      <c r="F830" s="116"/>
      <c r="G830" s="116"/>
      <c r="H830" s="116"/>
      <c r="I830" s="116"/>
      <c r="J830" s="116"/>
    </row>
    <row r="831" spans="1:10" ht="13.5" customHeight="1">
      <c r="A831" s="2"/>
      <c r="B831" s="116"/>
      <c r="C831" s="116"/>
      <c r="D831" s="116"/>
      <c r="E831" s="116"/>
      <c r="F831" s="116"/>
      <c r="G831" s="116"/>
      <c r="H831" s="116"/>
      <c r="I831" s="116"/>
      <c r="J831" s="116"/>
    </row>
    <row r="832" spans="1:10" ht="13.5" customHeight="1">
      <c r="A832" s="2"/>
      <c r="B832" s="116"/>
      <c r="C832" s="116"/>
      <c r="D832" s="116"/>
      <c r="E832" s="116"/>
      <c r="F832" s="116"/>
      <c r="G832" s="116"/>
      <c r="H832" s="116"/>
      <c r="I832" s="116"/>
      <c r="J832" s="116"/>
    </row>
    <row r="833" spans="1:10" ht="13.5" customHeight="1">
      <c r="A833" s="2"/>
      <c r="B833" s="116"/>
      <c r="C833" s="116"/>
      <c r="D833" s="116"/>
      <c r="E833" s="116"/>
      <c r="F833" s="116"/>
      <c r="G833" s="116"/>
      <c r="H833" s="116"/>
      <c r="I833" s="116"/>
      <c r="J833" s="116"/>
    </row>
    <row r="834" spans="1:10" ht="13.5" customHeight="1">
      <c r="A834" s="2"/>
      <c r="B834" s="116"/>
      <c r="C834" s="116"/>
      <c r="D834" s="116"/>
      <c r="E834" s="116"/>
      <c r="F834" s="116"/>
      <c r="G834" s="116"/>
      <c r="H834" s="116"/>
      <c r="I834" s="116"/>
      <c r="J834" s="116"/>
    </row>
    <row r="835" spans="1:10" ht="13.5" customHeight="1">
      <c r="A835" s="2"/>
      <c r="B835" s="116"/>
      <c r="C835" s="116"/>
      <c r="D835" s="116"/>
      <c r="E835" s="116"/>
      <c r="F835" s="116"/>
      <c r="G835" s="116"/>
      <c r="H835" s="116"/>
      <c r="I835" s="116"/>
      <c r="J835" s="116"/>
    </row>
    <row r="836" spans="1:10" ht="13.5" customHeight="1">
      <c r="A836" s="2"/>
      <c r="B836" s="116"/>
      <c r="C836" s="116"/>
      <c r="D836" s="116"/>
      <c r="E836" s="116"/>
      <c r="F836" s="116"/>
      <c r="G836" s="116"/>
      <c r="H836" s="116"/>
      <c r="I836" s="116"/>
      <c r="J836" s="116"/>
    </row>
    <row r="837" spans="1:10" ht="13.5" customHeight="1">
      <c r="A837" s="2"/>
      <c r="B837" s="116"/>
      <c r="C837" s="116"/>
      <c r="D837" s="116"/>
      <c r="E837" s="116"/>
      <c r="F837" s="116"/>
      <c r="G837" s="116"/>
      <c r="H837" s="116"/>
      <c r="I837" s="116"/>
      <c r="J837" s="116"/>
    </row>
    <row r="838" spans="1:10" ht="13.5" customHeight="1">
      <c r="A838" s="2"/>
      <c r="B838" s="116"/>
      <c r="C838" s="116"/>
      <c r="D838" s="116"/>
      <c r="E838" s="116"/>
      <c r="F838" s="116"/>
      <c r="G838" s="116"/>
      <c r="H838" s="116"/>
      <c r="I838" s="116"/>
      <c r="J838" s="116"/>
    </row>
    <row r="839" spans="1:10" ht="13.5" customHeight="1">
      <c r="A839" s="2"/>
      <c r="B839" s="116"/>
      <c r="C839" s="116"/>
      <c r="D839" s="116"/>
      <c r="E839" s="116"/>
      <c r="F839" s="116"/>
      <c r="G839" s="116"/>
      <c r="H839" s="116"/>
      <c r="I839" s="116"/>
      <c r="J839" s="116"/>
    </row>
    <row r="840" spans="1:10" ht="13.5" customHeight="1">
      <c r="A840" s="2"/>
      <c r="B840" s="116"/>
      <c r="C840" s="116"/>
      <c r="D840" s="116"/>
      <c r="E840" s="116"/>
      <c r="F840" s="116"/>
      <c r="G840" s="116"/>
      <c r="H840" s="116"/>
      <c r="I840" s="116"/>
      <c r="J840" s="116"/>
    </row>
    <row r="841" spans="1:10" ht="13.5" customHeight="1">
      <c r="A841" s="2"/>
      <c r="B841" s="116"/>
      <c r="C841" s="116"/>
      <c r="D841" s="116"/>
      <c r="E841" s="116"/>
      <c r="F841" s="116"/>
      <c r="G841" s="116"/>
      <c r="H841" s="116"/>
      <c r="I841" s="116"/>
      <c r="J841" s="116"/>
    </row>
    <row r="842" spans="1:10" ht="13.5" customHeight="1">
      <c r="A842" s="2"/>
      <c r="B842" s="116"/>
      <c r="C842" s="116"/>
      <c r="D842" s="116"/>
      <c r="E842" s="116"/>
      <c r="F842" s="116"/>
      <c r="G842" s="116"/>
      <c r="H842" s="116"/>
      <c r="I842" s="116"/>
      <c r="J842" s="116"/>
    </row>
    <row r="843" spans="1:10" ht="13.5" customHeight="1">
      <c r="A843" s="2"/>
      <c r="B843" s="116"/>
      <c r="C843" s="116"/>
      <c r="D843" s="116"/>
      <c r="E843" s="116"/>
      <c r="F843" s="116"/>
      <c r="G843" s="116"/>
      <c r="H843" s="116"/>
      <c r="I843" s="116"/>
      <c r="J843" s="116"/>
    </row>
    <row r="844" spans="1:10" ht="13.5" customHeight="1">
      <c r="A844" s="2"/>
      <c r="B844" s="116"/>
      <c r="C844" s="116"/>
      <c r="D844" s="116"/>
      <c r="E844" s="116"/>
      <c r="F844" s="116"/>
      <c r="G844" s="116"/>
      <c r="H844" s="116"/>
      <c r="I844" s="116"/>
      <c r="J844" s="116"/>
    </row>
    <row r="845" spans="1:10" ht="13.5" customHeight="1">
      <c r="A845" s="2"/>
      <c r="B845" s="116"/>
      <c r="C845" s="116"/>
      <c r="D845" s="116"/>
      <c r="E845" s="116"/>
      <c r="F845" s="116"/>
      <c r="G845" s="116"/>
      <c r="H845" s="116"/>
      <c r="I845" s="116"/>
      <c r="J845" s="116"/>
    </row>
    <row r="846" spans="1:10" ht="13.5" customHeight="1">
      <c r="A846" s="2"/>
      <c r="B846" s="116"/>
      <c r="C846" s="116"/>
      <c r="D846" s="116"/>
      <c r="E846" s="116"/>
      <c r="F846" s="116"/>
      <c r="G846" s="116"/>
      <c r="H846" s="116"/>
      <c r="I846" s="116"/>
      <c r="J846" s="116"/>
    </row>
    <row r="847" spans="1:10" ht="13.5" customHeight="1">
      <c r="A847" s="2"/>
      <c r="B847" s="116"/>
      <c r="C847" s="116"/>
      <c r="D847" s="116"/>
      <c r="E847" s="116"/>
      <c r="F847" s="116"/>
      <c r="G847" s="116"/>
      <c r="H847" s="116"/>
      <c r="I847" s="116"/>
      <c r="J847" s="116"/>
    </row>
    <row r="848" spans="1:10" ht="13.5" customHeight="1">
      <c r="A848" s="2"/>
      <c r="B848" s="116"/>
      <c r="C848" s="116"/>
      <c r="D848" s="116"/>
      <c r="E848" s="116"/>
      <c r="F848" s="116"/>
      <c r="G848" s="116"/>
      <c r="H848" s="116"/>
      <c r="I848" s="116"/>
      <c r="J848" s="116"/>
    </row>
    <row r="849" spans="1:10" ht="13.5" customHeight="1">
      <c r="A849" s="2"/>
      <c r="B849" s="116"/>
      <c r="C849" s="116"/>
      <c r="D849" s="116"/>
      <c r="E849" s="116"/>
      <c r="F849" s="116"/>
      <c r="G849" s="116"/>
      <c r="H849" s="116"/>
      <c r="I849" s="116"/>
      <c r="J849" s="116"/>
    </row>
    <row r="850" spans="1:10" ht="13.5" customHeight="1">
      <c r="A850" s="2"/>
      <c r="B850" s="116"/>
      <c r="C850" s="116"/>
      <c r="D850" s="116"/>
      <c r="E850" s="116"/>
      <c r="F850" s="116"/>
      <c r="G850" s="116"/>
      <c r="H850" s="116"/>
      <c r="I850" s="116"/>
      <c r="J850" s="116"/>
    </row>
    <row r="851" spans="1:10" ht="13.5" customHeight="1">
      <c r="A851" s="2"/>
      <c r="B851" s="116"/>
      <c r="C851" s="116"/>
      <c r="D851" s="116"/>
      <c r="E851" s="116"/>
      <c r="F851" s="116"/>
      <c r="G851" s="116"/>
      <c r="H851" s="116"/>
      <c r="I851" s="116"/>
      <c r="J851" s="116"/>
    </row>
    <row r="852" spans="1:10" ht="13.5" customHeight="1">
      <c r="A852" s="2"/>
      <c r="B852" s="116"/>
      <c r="C852" s="116"/>
      <c r="D852" s="116"/>
      <c r="E852" s="116"/>
      <c r="F852" s="116"/>
      <c r="G852" s="116"/>
      <c r="H852" s="116"/>
      <c r="I852" s="116"/>
      <c r="J852" s="116"/>
    </row>
    <row r="853" spans="1:10" ht="13.5" customHeight="1">
      <c r="A853" s="2"/>
      <c r="B853" s="116"/>
      <c r="C853" s="116"/>
      <c r="D853" s="116"/>
      <c r="E853" s="116"/>
      <c r="F853" s="116"/>
      <c r="G853" s="116"/>
      <c r="H853" s="116"/>
      <c r="I853" s="116"/>
      <c r="J853" s="116"/>
    </row>
    <row r="854" spans="1:10" ht="13.5" customHeight="1">
      <c r="A854" s="2"/>
      <c r="B854" s="116"/>
      <c r="C854" s="116"/>
      <c r="D854" s="116"/>
      <c r="E854" s="116"/>
      <c r="F854" s="116"/>
      <c r="G854" s="116"/>
      <c r="H854" s="116"/>
      <c r="I854" s="116"/>
      <c r="J854" s="116"/>
    </row>
    <row r="855" spans="1:10" ht="13.5" customHeight="1">
      <c r="A855" s="2"/>
      <c r="B855" s="116"/>
      <c r="C855" s="116"/>
      <c r="D855" s="116"/>
      <c r="E855" s="116"/>
      <c r="F855" s="116"/>
      <c r="G855" s="116"/>
      <c r="H855" s="116"/>
      <c r="I855" s="116"/>
      <c r="J855" s="116"/>
    </row>
    <row r="856" spans="1:10" ht="13.5" customHeight="1">
      <c r="A856" s="2"/>
      <c r="B856" s="116"/>
      <c r="C856" s="116"/>
      <c r="D856" s="116"/>
      <c r="E856" s="116"/>
      <c r="F856" s="116"/>
      <c r="G856" s="116"/>
      <c r="H856" s="116"/>
      <c r="I856" s="116"/>
      <c r="J856" s="116"/>
    </row>
    <row r="857" spans="1:10" ht="13.5" customHeight="1">
      <c r="A857" s="2"/>
      <c r="B857" s="116"/>
      <c r="C857" s="116"/>
      <c r="D857" s="116"/>
      <c r="E857" s="116"/>
      <c r="F857" s="116"/>
      <c r="G857" s="116"/>
      <c r="H857" s="116"/>
      <c r="I857" s="116"/>
      <c r="J857" s="116"/>
    </row>
    <row r="858" spans="1:10" ht="13.5" customHeight="1">
      <c r="A858" s="2"/>
      <c r="B858" s="116"/>
      <c r="C858" s="116"/>
      <c r="D858" s="116"/>
      <c r="E858" s="116"/>
      <c r="F858" s="116"/>
      <c r="G858" s="116"/>
      <c r="H858" s="116"/>
      <c r="I858" s="116"/>
      <c r="J858" s="116"/>
    </row>
    <row r="859" spans="1:10" ht="13.5" customHeight="1">
      <c r="A859" s="2"/>
      <c r="B859" s="116"/>
      <c r="C859" s="116"/>
      <c r="D859" s="116"/>
      <c r="E859" s="116"/>
      <c r="F859" s="116"/>
      <c r="G859" s="116"/>
      <c r="H859" s="116"/>
      <c r="I859" s="116"/>
      <c r="J859" s="116"/>
    </row>
    <row r="860" spans="1:10" ht="13.5" customHeight="1">
      <c r="A860" s="2"/>
      <c r="B860" s="116"/>
      <c r="C860" s="116"/>
      <c r="D860" s="116"/>
      <c r="E860" s="116"/>
      <c r="F860" s="116"/>
      <c r="G860" s="116"/>
      <c r="H860" s="116"/>
      <c r="I860" s="116"/>
      <c r="J860" s="116"/>
    </row>
    <row r="861" spans="1:10" ht="13.5" customHeight="1">
      <c r="A861" s="2"/>
      <c r="B861" s="116"/>
      <c r="C861" s="116"/>
      <c r="D861" s="116"/>
      <c r="E861" s="116"/>
      <c r="F861" s="116"/>
      <c r="G861" s="116"/>
      <c r="H861" s="116"/>
      <c r="I861" s="116"/>
      <c r="J861" s="116"/>
    </row>
    <row r="862" spans="1:10" ht="13.5" customHeight="1">
      <c r="A862" s="2"/>
      <c r="B862" s="116"/>
      <c r="C862" s="116"/>
      <c r="D862" s="116"/>
      <c r="E862" s="116"/>
      <c r="F862" s="116"/>
      <c r="G862" s="116"/>
      <c r="H862" s="116"/>
      <c r="I862" s="116"/>
      <c r="J862" s="116"/>
    </row>
    <row r="863" spans="1:10" ht="13.5" customHeight="1">
      <c r="A863" s="2"/>
      <c r="B863" s="116"/>
      <c r="C863" s="116"/>
      <c r="D863" s="116"/>
      <c r="E863" s="116"/>
      <c r="F863" s="116"/>
      <c r="G863" s="116"/>
      <c r="H863" s="116"/>
      <c r="I863" s="116"/>
      <c r="J863" s="116"/>
    </row>
    <row r="864" spans="1:10" ht="13.5" customHeight="1">
      <c r="A864" s="2"/>
      <c r="B864" s="116"/>
      <c r="C864" s="116"/>
      <c r="D864" s="116"/>
      <c r="E864" s="116"/>
      <c r="F864" s="116"/>
      <c r="G864" s="116"/>
      <c r="H864" s="116"/>
      <c r="I864" s="116"/>
      <c r="J864" s="116"/>
    </row>
    <row r="865" spans="1:10" ht="13.5" customHeight="1">
      <c r="A865" s="2"/>
      <c r="B865" s="116"/>
      <c r="C865" s="116"/>
      <c r="D865" s="116"/>
      <c r="E865" s="116"/>
      <c r="F865" s="116"/>
      <c r="G865" s="116"/>
      <c r="H865" s="116"/>
      <c r="I865" s="116"/>
      <c r="J865" s="116"/>
    </row>
    <row r="866" spans="1:10" ht="13.5" customHeight="1">
      <c r="A866" s="2"/>
      <c r="B866" s="116"/>
      <c r="C866" s="116"/>
      <c r="D866" s="116"/>
      <c r="E866" s="116"/>
      <c r="F866" s="116"/>
      <c r="G866" s="116"/>
      <c r="H866" s="116"/>
      <c r="I866" s="116"/>
      <c r="J866" s="116"/>
    </row>
    <row r="867" spans="1:10" ht="13.5" customHeight="1">
      <c r="A867" s="2"/>
      <c r="B867" s="116"/>
      <c r="C867" s="116"/>
      <c r="D867" s="116"/>
      <c r="E867" s="116"/>
      <c r="F867" s="116"/>
      <c r="G867" s="116"/>
      <c r="H867" s="116"/>
      <c r="I867" s="116"/>
      <c r="J867" s="116"/>
    </row>
    <row r="868" spans="1:10" ht="13.5" customHeight="1">
      <c r="A868" s="2"/>
      <c r="B868" s="116"/>
      <c r="C868" s="116"/>
      <c r="D868" s="116"/>
      <c r="E868" s="116"/>
      <c r="F868" s="116"/>
      <c r="G868" s="116"/>
      <c r="H868" s="116"/>
      <c r="I868" s="116"/>
      <c r="J868" s="116"/>
    </row>
    <row r="869" spans="1:10" ht="13.5" customHeight="1">
      <c r="A869" s="2"/>
      <c r="B869" s="116"/>
      <c r="C869" s="116"/>
      <c r="D869" s="116"/>
      <c r="E869" s="116"/>
      <c r="F869" s="116"/>
      <c r="G869" s="116"/>
      <c r="H869" s="116"/>
      <c r="I869" s="116"/>
      <c r="J869" s="116"/>
    </row>
    <row r="870" spans="1:10" ht="13.5" customHeight="1">
      <c r="A870" s="2"/>
      <c r="B870" s="116"/>
      <c r="C870" s="116"/>
      <c r="D870" s="116"/>
      <c r="E870" s="116"/>
      <c r="F870" s="116"/>
      <c r="G870" s="116"/>
      <c r="H870" s="116"/>
      <c r="I870" s="116"/>
      <c r="J870" s="116"/>
    </row>
    <row r="871" spans="1:10" ht="13.5" customHeight="1">
      <c r="A871" s="2"/>
      <c r="B871" s="116"/>
      <c r="C871" s="116"/>
      <c r="D871" s="116"/>
      <c r="E871" s="116"/>
      <c r="F871" s="116"/>
      <c r="G871" s="116"/>
      <c r="H871" s="116"/>
      <c r="I871" s="116"/>
      <c r="J871" s="116"/>
    </row>
    <row r="872" spans="1:10" ht="13.5" customHeight="1">
      <c r="A872" s="2"/>
      <c r="B872" s="116"/>
      <c r="C872" s="116"/>
      <c r="D872" s="116"/>
      <c r="E872" s="116"/>
      <c r="F872" s="116"/>
      <c r="G872" s="116"/>
      <c r="H872" s="116"/>
      <c r="I872" s="116"/>
      <c r="J872" s="116"/>
    </row>
    <row r="873" spans="1:10" ht="13.5" customHeight="1">
      <c r="A873" s="2"/>
      <c r="B873" s="116"/>
      <c r="C873" s="116"/>
      <c r="D873" s="116"/>
      <c r="E873" s="116"/>
      <c r="F873" s="116"/>
      <c r="G873" s="116"/>
      <c r="H873" s="116"/>
      <c r="I873" s="116"/>
      <c r="J873" s="116"/>
    </row>
    <row r="874" spans="1:10" ht="13.5" customHeight="1">
      <c r="A874" s="2"/>
      <c r="B874" s="116"/>
      <c r="C874" s="116"/>
      <c r="D874" s="116"/>
      <c r="E874" s="116"/>
      <c r="F874" s="116"/>
      <c r="G874" s="116"/>
      <c r="H874" s="116"/>
      <c r="I874" s="116"/>
      <c r="J874" s="116"/>
    </row>
    <row r="875" spans="1:10" ht="13.5" customHeight="1">
      <c r="A875" s="2"/>
      <c r="B875" s="116"/>
      <c r="C875" s="116"/>
      <c r="D875" s="116"/>
      <c r="E875" s="116"/>
      <c r="F875" s="116"/>
      <c r="G875" s="116"/>
      <c r="H875" s="116"/>
      <c r="I875" s="116"/>
      <c r="J875" s="116"/>
    </row>
    <row r="876" spans="1:10" ht="13.5" customHeight="1">
      <c r="A876" s="2"/>
      <c r="B876" s="116"/>
      <c r="C876" s="116"/>
      <c r="D876" s="116"/>
      <c r="E876" s="116"/>
      <c r="F876" s="116"/>
      <c r="G876" s="116"/>
      <c r="H876" s="116"/>
      <c r="I876" s="116"/>
      <c r="J876" s="116"/>
    </row>
    <row r="877" spans="1:10" ht="13.5" customHeight="1">
      <c r="A877" s="2"/>
      <c r="B877" s="116"/>
      <c r="C877" s="116"/>
      <c r="D877" s="116"/>
      <c r="E877" s="116"/>
      <c r="F877" s="116"/>
      <c r="G877" s="116"/>
      <c r="H877" s="116"/>
      <c r="I877" s="116"/>
      <c r="J877" s="116"/>
    </row>
    <row r="878" spans="1:10" ht="13.5" customHeight="1">
      <c r="A878" s="2"/>
      <c r="B878" s="116"/>
      <c r="C878" s="116"/>
      <c r="D878" s="116"/>
      <c r="E878" s="116"/>
      <c r="F878" s="116"/>
      <c r="G878" s="116"/>
      <c r="H878" s="116"/>
      <c r="I878" s="116"/>
      <c r="J878" s="116"/>
    </row>
    <row r="879" spans="1:10" ht="13.5" customHeight="1">
      <c r="A879" s="2"/>
      <c r="B879" s="116"/>
      <c r="C879" s="116"/>
      <c r="D879" s="116"/>
      <c r="E879" s="116"/>
      <c r="F879" s="116"/>
      <c r="G879" s="116"/>
      <c r="H879" s="116"/>
      <c r="I879" s="116"/>
      <c r="J879" s="116"/>
    </row>
    <row r="880" spans="1:10" ht="13.5" customHeight="1">
      <c r="A880" s="2"/>
      <c r="B880" s="116"/>
      <c r="C880" s="116"/>
      <c r="D880" s="116"/>
      <c r="E880" s="116"/>
      <c r="F880" s="116"/>
      <c r="G880" s="116"/>
      <c r="H880" s="116"/>
      <c r="I880" s="116"/>
      <c r="J880" s="116"/>
    </row>
    <row r="881" spans="1:10" ht="13.5" customHeight="1">
      <c r="A881" s="2"/>
      <c r="B881" s="116"/>
      <c r="C881" s="116"/>
      <c r="D881" s="116"/>
      <c r="E881" s="116"/>
      <c r="F881" s="116"/>
      <c r="G881" s="116"/>
      <c r="H881" s="116"/>
      <c r="I881" s="116"/>
      <c r="J881" s="116"/>
    </row>
    <row r="882" spans="1:10" ht="13.5" customHeight="1">
      <c r="A882" s="2"/>
      <c r="B882" s="116"/>
      <c r="C882" s="116"/>
      <c r="D882" s="116"/>
      <c r="E882" s="116"/>
      <c r="F882" s="116"/>
      <c r="G882" s="116"/>
      <c r="H882" s="116"/>
      <c r="I882" s="116"/>
      <c r="J882" s="116"/>
    </row>
    <row r="883" spans="1:10" ht="13.5" customHeight="1">
      <c r="A883" s="2"/>
      <c r="B883" s="116"/>
      <c r="C883" s="116"/>
      <c r="D883" s="116"/>
      <c r="E883" s="116"/>
      <c r="F883" s="116"/>
      <c r="G883" s="116"/>
      <c r="H883" s="116"/>
      <c r="I883" s="116"/>
      <c r="J883" s="116"/>
    </row>
    <row r="884" spans="1:10" ht="13.5" customHeight="1">
      <c r="A884" s="2"/>
      <c r="B884" s="116"/>
      <c r="C884" s="116"/>
      <c r="D884" s="116"/>
      <c r="E884" s="116"/>
      <c r="F884" s="116"/>
      <c r="G884" s="116"/>
      <c r="H884" s="116"/>
      <c r="I884" s="116"/>
      <c r="J884" s="116"/>
    </row>
    <row r="885" spans="1:10" ht="13.5" customHeight="1">
      <c r="A885" s="2"/>
      <c r="B885" s="116"/>
      <c r="C885" s="116"/>
      <c r="D885" s="116"/>
      <c r="E885" s="116"/>
      <c r="F885" s="116"/>
      <c r="G885" s="116"/>
      <c r="H885" s="116"/>
      <c r="I885" s="116"/>
      <c r="J885" s="116"/>
    </row>
    <row r="886" spans="1:10" ht="13.5" customHeight="1">
      <c r="A886" s="2"/>
      <c r="B886" s="116"/>
      <c r="C886" s="116"/>
      <c r="D886" s="116"/>
      <c r="E886" s="116"/>
      <c r="F886" s="116"/>
      <c r="G886" s="116"/>
      <c r="H886" s="116"/>
      <c r="I886" s="116"/>
      <c r="J886" s="116"/>
    </row>
    <row r="887" spans="1:10" ht="13.5" customHeight="1">
      <c r="A887" s="2"/>
      <c r="B887" s="116"/>
      <c r="C887" s="116"/>
      <c r="D887" s="116"/>
      <c r="E887" s="116"/>
      <c r="F887" s="116"/>
      <c r="G887" s="116"/>
      <c r="H887" s="116"/>
      <c r="I887" s="116"/>
      <c r="J887" s="116"/>
    </row>
    <row r="888" spans="1:10" ht="13.5" customHeight="1">
      <c r="A888" s="2"/>
      <c r="B888" s="116"/>
      <c r="C888" s="116"/>
      <c r="D888" s="116"/>
      <c r="E888" s="116"/>
      <c r="F888" s="116"/>
      <c r="G888" s="116"/>
      <c r="H888" s="116"/>
      <c r="I888" s="116"/>
      <c r="J888" s="116"/>
    </row>
    <row r="889" spans="1:10" ht="13.5" customHeight="1">
      <c r="A889" s="2"/>
      <c r="B889" s="116"/>
      <c r="C889" s="116"/>
      <c r="D889" s="116"/>
      <c r="E889" s="116"/>
      <c r="F889" s="116"/>
      <c r="G889" s="116"/>
      <c r="H889" s="116"/>
      <c r="I889" s="116"/>
      <c r="J889" s="116"/>
    </row>
    <row r="890" spans="1:10" ht="13.5" customHeight="1">
      <c r="A890" s="2"/>
      <c r="B890" s="116"/>
      <c r="C890" s="116"/>
      <c r="D890" s="116"/>
      <c r="E890" s="116"/>
      <c r="F890" s="116"/>
      <c r="G890" s="116"/>
      <c r="H890" s="116"/>
      <c r="I890" s="116"/>
      <c r="J890" s="116"/>
    </row>
    <row r="891" spans="1:10" ht="13.5" customHeight="1">
      <c r="A891" s="2"/>
      <c r="B891" s="116"/>
      <c r="C891" s="116"/>
      <c r="D891" s="116"/>
      <c r="E891" s="116"/>
      <c r="F891" s="116"/>
      <c r="G891" s="116"/>
      <c r="H891" s="116"/>
      <c r="I891" s="116"/>
      <c r="J891" s="116"/>
    </row>
    <row r="892" spans="1:10" ht="13.5" customHeight="1">
      <c r="A892" s="2"/>
      <c r="B892" s="116"/>
      <c r="C892" s="116"/>
      <c r="D892" s="116"/>
      <c r="E892" s="116"/>
      <c r="F892" s="116"/>
      <c r="G892" s="116"/>
      <c r="H892" s="116"/>
      <c r="I892" s="116"/>
      <c r="J892" s="116"/>
    </row>
    <row r="893" spans="1:10" ht="13.5" customHeight="1">
      <c r="A893" s="2"/>
      <c r="B893" s="116"/>
      <c r="C893" s="116"/>
      <c r="D893" s="116"/>
      <c r="E893" s="116"/>
      <c r="F893" s="116"/>
      <c r="G893" s="116"/>
      <c r="H893" s="116"/>
      <c r="I893" s="116"/>
      <c r="J893" s="116"/>
    </row>
    <row r="894" spans="1:10" ht="13.5" customHeight="1">
      <c r="A894" s="2"/>
      <c r="B894" s="116"/>
      <c r="C894" s="116"/>
      <c r="D894" s="116"/>
      <c r="E894" s="116"/>
      <c r="F894" s="116"/>
      <c r="G894" s="116"/>
      <c r="H894" s="116"/>
      <c r="I894" s="116"/>
      <c r="J894" s="116"/>
    </row>
    <row r="895" spans="1:10" ht="13.5" customHeight="1">
      <c r="A895" s="2"/>
      <c r="B895" s="116"/>
      <c r="C895" s="116"/>
      <c r="D895" s="116"/>
      <c r="E895" s="116"/>
      <c r="F895" s="116"/>
      <c r="G895" s="116"/>
      <c r="H895" s="116"/>
      <c r="I895" s="116"/>
      <c r="J895" s="116"/>
    </row>
    <row r="896" spans="1:10" ht="13.5" customHeight="1">
      <c r="A896" s="2"/>
      <c r="B896" s="116"/>
      <c r="C896" s="116"/>
      <c r="D896" s="116"/>
      <c r="E896" s="116"/>
      <c r="F896" s="116"/>
      <c r="G896" s="116"/>
      <c r="H896" s="116"/>
      <c r="I896" s="116"/>
      <c r="J896" s="116"/>
    </row>
    <row r="897" spans="1:10" ht="13.5" customHeight="1">
      <c r="A897" s="2"/>
      <c r="B897" s="116"/>
      <c r="C897" s="116"/>
      <c r="D897" s="116"/>
      <c r="E897" s="116"/>
      <c r="F897" s="116"/>
      <c r="G897" s="116"/>
      <c r="H897" s="116"/>
      <c r="I897" s="116"/>
      <c r="J897" s="116"/>
    </row>
    <row r="898" spans="1:10" ht="13.5" customHeight="1">
      <c r="A898" s="2"/>
      <c r="B898" s="116"/>
      <c r="C898" s="116"/>
      <c r="D898" s="116"/>
      <c r="E898" s="116"/>
      <c r="F898" s="116"/>
      <c r="G898" s="116"/>
      <c r="H898" s="116"/>
      <c r="I898" s="116"/>
      <c r="J898" s="116"/>
    </row>
    <row r="899" spans="1:10" ht="13.5" customHeight="1">
      <c r="A899" s="2"/>
      <c r="B899" s="116"/>
      <c r="C899" s="116"/>
      <c r="D899" s="116"/>
      <c r="E899" s="116"/>
      <c r="F899" s="116"/>
      <c r="G899" s="116"/>
      <c r="H899" s="116"/>
      <c r="I899" s="116"/>
      <c r="J899" s="116"/>
    </row>
    <row r="900" spans="1:10" ht="13.5" customHeight="1">
      <c r="A900" s="2"/>
      <c r="B900" s="116"/>
      <c r="C900" s="116"/>
      <c r="D900" s="116"/>
      <c r="E900" s="116"/>
      <c r="F900" s="116"/>
      <c r="G900" s="116"/>
      <c r="H900" s="116"/>
      <c r="I900" s="116"/>
      <c r="J900" s="116"/>
    </row>
    <row r="901" spans="1:10" ht="13.5" customHeight="1">
      <c r="A901" s="2"/>
      <c r="B901" s="116"/>
      <c r="C901" s="116"/>
      <c r="D901" s="116"/>
      <c r="E901" s="116"/>
      <c r="F901" s="116"/>
      <c r="G901" s="116"/>
      <c r="H901" s="116"/>
      <c r="I901" s="116"/>
      <c r="J901" s="116"/>
    </row>
    <row r="902" spans="1:10" ht="13.5" customHeight="1">
      <c r="A902" s="2"/>
      <c r="B902" s="116"/>
      <c r="C902" s="116"/>
      <c r="D902" s="116"/>
      <c r="E902" s="116"/>
      <c r="F902" s="116"/>
      <c r="G902" s="116"/>
      <c r="H902" s="116"/>
      <c r="I902" s="116"/>
      <c r="J902" s="116"/>
    </row>
    <row r="903" spans="1:10" ht="13.5" customHeight="1">
      <c r="A903" s="2"/>
      <c r="B903" s="116"/>
      <c r="C903" s="116"/>
      <c r="D903" s="116"/>
      <c r="E903" s="116"/>
      <c r="F903" s="116"/>
      <c r="G903" s="116"/>
      <c r="H903" s="116"/>
      <c r="I903" s="116"/>
      <c r="J903" s="116"/>
    </row>
    <row r="904" spans="1:10" ht="13.5" customHeight="1">
      <c r="A904" s="2"/>
      <c r="B904" s="116"/>
      <c r="C904" s="116"/>
      <c r="D904" s="116"/>
      <c r="E904" s="116"/>
      <c r="F904" s="116"/>
      <c r="G904" s="116"/>
      <c r="H904" s="116"/>
      <c r="I904" s="116"/>
      <c r="J904" s="116"/>
    </row>
    <row r="905" spans="1:10" ht="13.5" customHeight="1">
      <c r="A905" s="2"/>
      <c r="B905" s="116"/>
      <c r="C905" s="116"/>
      <c r="D905" s="116"/>
      <c r="E905" s="116"/>
      <c r="F905" s="116"/>
      <c r="G905" s="116"/>
      <c r="H905" s="116"/>
      <c r="I905" s="116"/>
      <c r="J905" s="116"/>
    </row>
    <row r="906" spans="1:10" ht="13.5" customHeight="1">
      <c r="A906" s="2"/>
      <c r="B906" s="116"/>
      <c r="C906" s="116"/>
      <c r="D906" s="116"/>
      <c r="E906" s="116"/>
      <c r="F906" s="116"/>
      <c r="G906" s="116"/>
      <c r="H906" s="116"/>
      <c r="I906" s="116"/>
      <c r="J906" s="116"/>
    </row>
    <row r="907" spans="1:10" ht="13.5" customHeight="1">
      <c r="A907" s="2"/>
      <c r="B907" s="116"/>
      <c r="C907" s="116"/>
      <c r="D907" s="116"/>
      <c r="E907" s="116"/>
      <c r="F907" s="116"/>
      <c r="G907" s="116"/>
      <c r="H907" s="116"/>
      <c r="I907" s="116"/>
      <c r="J907" s="116"/>
    </row>
    <row r="908" spans="1:10" ht="13.5" customHeight="1">
      <c r="A908" s="2"/>
      <c r="B908" s="116"/>
      <c r="C908" s="116"/>
      <c r="D908" s="116"/>
      <c r="E908" s="116"/>
      <c r="F908" s="116"/>
      <c r="G908" s="116"/>
      <c r="H908" s="116"/>
      <c r="I908" s="116"/>
      <c r="J908" s="116"/>
    </row>
    <row r="909" spans="1:10" ht="13.5" customHeight="1">
      <c r="A909" s="2"/>
      <c r="B909" s="116"/>
      <c r="C909" s="116"/>
      <c r="D909" s="116"/>
      <c r="E909" s="116"/>
      <c r="F909" s="116"/>
      <c r="G909" s="116"/>
      <c r="H909" s="116"/>
      <c r="I909" s="116"/>
      <c r="J909" s="116"/>
    </row>
    <row r="910" spans="1:10" ht="13.5" customHeight="1">
      <c r="A910" s="2"/>
      <c r="B910" s="116"/>
      <c r="C910" s="116"/>
      <c r="D910" s="116"/>
      <c r="E910" s="116"/>
      <c r="F910" s="116"/>
      <c r="G910" s="116"/>
      <c r="H910" s="116"/>
      <c r="I910" s="116"/>
      <c r="J910" s="116"/>
    </row>
    <row r="911" spans="1:10" ht="13.5" customHeight="1">
      <c r="A911" s="2"/>
      <c r="B911" s="116"/>
      <c r="C911" s="116"/>
      <c r="D911" s="116"/>
      <c r="E911" s="116"/>
      <c r="F911" s="116"/>
      <c r="G911" s="116"/>
      <c r="H911" s="116"/>
      <c r="I911" s="116"/>
      <c r="J911" s="116"/>
    </row>
    <row r="912" spans="1:10" ht="13.5" customHeight="1">
      <c r="A912" s="2"/>
      <c r="B912" s="116"/>
      <c r="C912" s="116"/>
      <c r="D912" s="116"/>
      <c r="E912" s="116"/>
      <c r="F912" s="116"/>
      <c r="G912" s="116"/>
      <c r="H912" s="116"/>
      <c r="I912" s="116"/>
      <c r="J912" s="116"/>
    </row>
    <row r="913" spans="1:10" ht="13.5" customHeight="1">
      <c r="A913" s="2"/>
      <c r="B913" s="116"/>
      <c r="C913" s="116"/>
      <c r="D913" s="116"/>
      <c r="E913" s="116"/>
      <c r="F913" s="116"/>
      <c r="G913" s="116"/>
      <c r="H913" s="116"/>
      <c r="I913" s="116"/>
      <c r="J913" s="116"/>
    </row>
    <row r="914" spans="1:10" ht="13.5" customHeight="1">
      <c r="A914" s="2"/>
      <c r="B914" s="116"/>
      <c r="C914" s="116"/>
      <c r="D914" s="116"/>
      <c r="E914" s="116"/>
      <c r="F914" s="116"/>
      <c r="G914" s="116"/>
      <c r="H914" s="116"/>
      <c r="I914" s="116"/>
      <c r="J914" s="116"/>
    </row>
    <row r="915" spans="1:10" ht="13.5" customHeight="1">
      <c r="A915" s="2"/>
      <c r="B915" s="116"/>
      <c r="C915" s="116"/>
      <c r="D915" s="116"/>
      <c r="E915" s="116"/>
      <c r="F915" s="116"/>
      <c r="G915" s="116"/>
      <c r="H915" s="116"/>
      <c r="I915" s="116"/>
      <c r="J915" s="116"/>
    </row>
    <row r="916" spans="1:10" ht="13.5" customHeight="1">
      <c r="A916" s="2"/>
      <c r="B916" s="116"/>
      <c r="C916" s="116"/>
      <c r="D916" s="116"/>
      <c r="E916" s="116"/>
      <c r="F916" s="116"/>
      <c r="G916" s="116"/>
      <c r="H916" s="116"/>
      <c r="I916" s="116"/>
      <c r="J916" s="116"/>
    </row>
    <row r="917" spans="1:10" ht="13.5" customHeight="1">
      <c r="A917" s="2"/>
      <c r="B917" s="116"/>
      <c r="C917" s="116"/>
      <c r="D917" s="116"/>
      <c r="E917" s="116"/>
      <c r="F917" s="116"/>
      <c r="G917" s="116"/>
      <c r="H917" s="116"/>
      <c r="I917" s="116"/>
      <c r="J917" s="116"/>
    </row>
    <row r="918" spans="1:10" ht="13.5" customHeight="1">
      <c r="A918" s="2"/>
      <c r="B918" s="116"/>
      <c r="C918" s="116"/>
      <c r="D918" s="116"/>
      <c r="E918" s="116"/>
      <c r="F918" s="116"/>
      <c r="G918" s="116"/>
      <c r="H918" s="116"/>
      <c r="I918" s="116"/>
      <c r="J918" s="116"/>
    </row>
    <row r="919" spans="1:10" ht="13.5" customHeight="1">
      <c r="A919" s="2"/>
      <c r="B919" s="116"/>
      <c r="C919" s="116"/>
      <c r="D919" s="116"/>
      <c r="E919" s="116"/>
      <c r="F919" s="116"/>
      <c r="G919" s="116"/>
      <c r="H919" s="116"/>
      <c r="I919" s="116"/>
      <c r="J919" s="116"/>
    </row>
    <row r="920" spans="1:10" ht="13.5" customHeight="1">
      <c r="A920" s="2"/>
      <c r="B920" s="116"/>
      <c r="C920" s="116"/>
      <c r="D920" s="116"/>
      <c r="E920" s="116"/>
      <c r="F920" s="116"/>
      <c r="G920" s="116"/>
      <c r="H920" s="116"/>
      <c r="I920" s="116"/>
      <c r="J920" s="116"/>
    </row>
    <row r="921" spans="1:10" ht="13.5" customHeight="1">
      <c r="A921" s="2"/>
      <c r="B921" s="116"/>
      <c r="C921" s="116"/>
      <c r="D921" s="116"/>
      <c r="E921" s="116"/>
      <c r="F921" s="116"/>
      <c r="G921" s="116"/>
      <c r="H921" s="116"/>
      <c r="I921" s="116"/>
      <c r="J921" s="116"/>
    </row>
    <row r="922" spans="1:10" ht="13.5" customHeight="1">
      <c r="A922" s="2"/>
      <c r="B922" s="116"/>
      <c r="C922" s="116"/>
      <c r="D922" s="116"/>
      <c r="E922" s="116"/>
      <c r="F922" s="116"/>
      <c r="G922" s="116"/>
      <c r="H922" s="116"/>
      <c r="I922" s="116"/>
      <c r="J922" s="116"/>
    </row>
    <row r="923" spans="1:10" ht="13.5" customHeight="1">
      <c r="A923" s="2"/>
      <c r="B923" s="116"/>
      <c r="C923" s="116"/>
      <c r="D923" s="116"/>
      <c r="E923" s="116"/>
      <c r="F923" s="116"/>
      <c r="G923" s="116"/>
      <c r="H923" s="116"/>
      <c r="I923" s="116"/>
      <c r="J923" s="116"/>
    </row>
    <row r="924" spans="1:10" ht="13.5" customHeight="1">
      <c r="A924" s="2"/>
      <c r="B924" s="116"/>
      <c r="C924" s="116"/>
      <c r="D924" s="116"/>
      <c r="E924" s="116"/>
      <c r="F924" s="116"/>
      <c r="G924" s="116"/>
      <c r="H924" s="116"/>
      <c r="I924" s="116"/>
      <c r="J924" s="116"/>
    </row>
    <row r="925" spans="1:10" ht="13.5" customHeight="1">
      <c r="A925" s="2"/>
      <c r="B925" s="116"/>
      <c r="C925" s="116"/>
      <c r="D925" s="116"/>
      <c r="E925" s="116"/>
      <c r="F925" s="116"/>
      <c r="G925" s="116"/>
      <c r="H925" s="116"/>
      <c r="I925" s="116"/>
      <c r="J925" s="116"/>
    </row>
    <row r="926" spans="1:10" ht="13.5" customHeight="1">
      <c r="A926" s="2"/>
      <c r="B926" s="116"/>
      <c r="C926" s="116"/>
      <c r="D926" s="116"/>
      <c r="E926" s="116"/>
      <c r="F926" s="116"/>
      <c r="G926" s="116"/>
      <c r="H926" s="116"/>
      <c r="I926" s="116"/>
      <c r="J926" s="116"/>
    </row>
    <row r="927" spans="1:10" ht="13.5" customHeight="1">
      <c r="A927" s="2"/>
      <c r="B927" s="116"/>
      <c r="C927" s="116"/>
      <c r="D927" s="116"/>
      <c r="E927" s="116"/>
      <c r="F927" s="116"/>
      <c r="G927" s="116"/>
      <c r="H927" s="116"/>
      <c r="I927" s="116"/>
      <c r="J927" s="116"/>
    </row>
    <row r="928" spans="1:10" ht="13.5" customHeight="1">
      <c r="A928" s="2"/>
      <c r="B928" s="116"/>
      <c r="C928" s="116"/>
      <c r="D928" s="116"/>
      <c r="E928" s="116"/>
      <c r="F928" s="116"/>
      <c r="G928" s="116"/>
      <c r="H928" s="116"/>
      <c r="I928" s="116"/>
      <c r="J928" s="116"/>
    </row>
    <row r="929" spans="1:10" ht="13.5" customHeight="1">
      <c r="A929" s="2"/>
      <c r="B929" s="116"/>
      <c r="C929" s="116"/>
      <c r="D929" s="116"/>
      <c r="E929" s="116"/>
      <c r="F929" s="116"/>
      <c r="G929" s="116"/>
      <c r="H929" s="116"/>
      <c r="I929" s="116"/>
      <c r="J929" s="116"/>
    </row>
    <row r="930" spans="1:10" ht="13.5" customHeight="1">
      <c r="A930" s="2"/>
      <c r="B930" s="116"/>
      <c r="C930" s="116"/>
      <c r="D930" s="116"/>
      <c r="E930" s="116"/>
      <c r="F930" s="116"/>
      <c r="G930" s="116"/>
      <c r="H930" s="116"/>
      <c r="I930" s="116"/>
      <c r="J930" s="116"/>
    </row>
    <row r="931" spans="1:10" ht="13.5" customHeight="1">
      <c r="A931" s="2"/>
      <c r="B931" s="116"/>
      <c r="C931" s="116"/>
      <c r="D931" s="116"/>
      <c r="E931" s="116"/>
      <c r="F931" s="116"/>
      <c r="G931" s="116"/>
      <c r="H931" s="116"/>
      <c r="I931" s="116"/>
      <c r="J931" s="116"/>
    </row>
    <row r="932" spans="1:10" ht="13.5" customHeight="1">
      <c r="A932" s="2"/>
      <c r="B932" s="116"/>
      <c r="C932" s="116"/>
      <c r="D932" s="116"/>
      <c r="E932" s="116"/>
      <c r="F932" s="116"/>
      <c r="G932" s="116"/>
      <c r="H932" s="116"/>
      <c r="I932" s="116"/>
      <c r="J932" s="116"/>
    </row>
    <row r="933" spans="1:10" ht="13.5" customHeight="1">
      <c r="A933" s="2"/>
      <c r="B933" s="116"/>
      <c r="C933" s="116"/>
      <c r="D933" s="116"/>
      <c r="E933" s="116"/>
      <c r="F933" s="116"/>
      <c r="G933" s="116"/>
      <c r="H933" s="116"/>
      <c r="I933" s="116"/>
      <c r="J933" s="116"/>
    </row>
    <row r="934" spans="1:10" ht="13.5" customHeight="1">
      <c r="A934" s="2"/>
      <c r="B934" s="116"/>
      <c r="C934" s="116"/>
      <c r="D934" s="116"/>
      <c r="E934" s="116"/>
      <c r="F934" s="116"/>
      <c r="G934" s="116"/>
      <c r="H934" s="116"/>
      <c r="I934" s="116"/>
      <c r="J934" s="116"/>
    </row>
    <row r="935" spans="1:10" ht="13.5" customHeight="1">
      <c r="A935" s="2"/>
      <c r="B935" s="116"/>
      <c r="C935" s="116"/>
      <c r="D935" s="116"/>
      <c r="E935" s="116"/>
      <c r="F935" s="116"/>
      <c r="G935" s="116"/>
      <c r="H935" s="116"/>
      <c r="I935" s="116"/>
      <c r="J935" s="116"/>
    </row>
    <row r="936" spans="1:10" ht="13.5" customHeight="1">
      <c r="A936" s="2"/>
      <c r="B936" s="116"/>
      <c r="C936" s="116"/>
      <c r="D936" s="116"/>
      <c r="E936" s="116"/>
      <c r="F936" s="116"/>
      <c r="G936" s="116"/>
      <c r="H936" s="116"/>
      <c r="I936" s="116"/>
      <c r="J936" s="116"/>
    </row>
    <row r="937" spans="1:10" ht="13.5" customHeight="1">
      <c r="A937" s="2"/>
      <c r="B937" s="116"/>
      <c r="C937" s="116"/>
      <c r="D937" s="116"/>
      <c r="E937" s="116"/>
      <c r="F937" s="116"/>
      <c r="G937" s="116"/>
      <c r="H937" s="116"/>
      <c r="I937" s="116"/>
      <c r="J937" s="116"/>
    </row>
    <row r="938" spans="1:10" ht="13.5" customHeight="1">
      <c r="A938" s="2"/>
      <c r="B938" s="116"/>
      <c r="C938" s="116"/>
      <c r="D938" s="116"/>
      <c r="E938" s="116"/>
      <c r="F938" s="116"/>
      <c r="G938" s="116"/>
      <c r="H938" s="116"/>
      <c r="I938" s="116"/>
      <c r="J938" s="116"/>
    </row>
    <row r="939" spans="1:10" ht="13.5" customHeight="1">
      <c r="A939" s="2"/>
      <c r="B939" s="116"/>
      <c r="C939" s="116"/>
      <c r="D939" s="116"/>
      <c r="E939" s="116"/>
      <c r="F939" s="116"/>
      <c r="G939" s="116"/>
      <c r="H939" s="116"/>
      <c r="I939" s="116"/>
      <c r="J939" s="116"/>
    </row>
    <row r="940" spans="1:10" ht="13.5" customHeight="1">
      <c r="A940" s="2"/>
      <c r="B940" s="116"/>
      <c r="C940" s="116"/>
      <c r="D940" s="116"/>
      <c r="E940" s="116"/>
      <c r="F940" s="116"/>
      <c r="G940" s="116"/>
      <c r="H940" s="116"/>
      <c r="I940" s="116"/>
      <c r="J940" s="116"/>
    </row>
    <row r="941" spans="1:10" ht="13.5" customHeight="1">
      <c r="A941" s="2"/>
      <c r="B941" s="116"/>
      <c r="C941" s="116"/>
      <c r="D941" s="116"/>
      <c r="E941" s="116"/>
      <c r="F941" s="116"/>
      <c r="G941" s="116"/>
      <c r="H941" s="116"/>
      <c r="I941" s="116"/>
      <c r="J941" s="116"/>
    </row>
    <row r="942" spans="1:10" ht="13.5" customHeight="1">
      <c r="A942" s="2"/>
      <c r="B942" s="116"/>
      <c r="C942" s="116"/>
      <c r="D942" s="116"/>
      <c r="E942" s="116"/>
      <c r="F942" s="116"/>
      <c r="G942" s="116"/>
      <c r="H942" s="116"/>
      <c r="I942" s="116"/>
      <c r="J942" s="116"/>
    </row>
    <row r="943" spans="1:10" ht="13.5" customHeight="1">
      <c r="A943" s="2"/>
      <c r="B943" s="116"/>
      <c r="C943" s="116"/>
      <c r="D943" s="116"/>
      <c r="E943" s="116"/>
      <c r="F943" s="116"/>
      <c r="G943" s="116"/>
      <c r="H943" s="116"/>
      <c r="I943" s="116"/>
      <c r="J943" s="116"/>
    </row>
    <row r="944" spans="1:10" ht="13.5" customHeight="1">
      <c r="A944" s="2"/>
      <c r="B944" s="116"/>
      <c r="C944" s="116"/>
      <c r="D944" s="116"/>
      <c r="E944" s="116"/>
      <c r="F944" s="116"/>
      <c r="G944" s="116"/>
      <c r="H944" s="116"/>
      <c r="I944" s="116"/>
      <c r="J944" s="116"/>
    </row>
    <row r="945" spans="1:10" ht="13.5" customHeight="1">
      <c r="A945" s="2"/>
      <c r="B945" s="116"/>
      <c r="C945" s="116"/>
      <c r="D945" s="116"/>
      <c r="E945" s="116"/>
      <c r="F945" s="116"/>
      <c r="G945" s="116"/>
      <c r="H945" s="116"/>
      <c r="I945" s="116"/>
      <c r="J945" s="116"/>
    </row>
    <row r="946" spans="1:10" ht="13.5" customHeight="1">
      <c r="A946" s="2"/>
      <c r="B946" s="116"/>
      <c r="C946" s="116"/>
      <c r="D946" s="116"/>
      <c r="E946" s="116"/>
      <c r="F946" s="116"/>
      <c r="G946" s="116"/>
      <c r="H946" s="116"/>
      <c r="I946" s="116"/>
      <c r="J946" s="116"/>
    </row>
    <row r="947" spans="1:10" ht="13.5" customHeight="1">
      <c r="A947" s="2"/>
      <c r="B947" s="116"/>
      <c r="C947" s="116"/>
      <c r="D947" s="116"/>
      <c r="E947" s="116"/>
      <c r="F947" s="116"/>
      <c r="G947" s="116"/>
      <c r="H947" s="116"/>
      <c r="I947" s="116"/>
      <c r="J947" s="116"/>
    </row>
    <row r="948" spans="1:10" ht="13.5" customHeight="1">
      <c r="A948" s="2"/>
      <c r="B948" s="116"/>
      <c r="C948" s="116"/>
      <c r="D948" s="116"/>
      <c r="E948" s="116"/>
      <c r="F948" s="116"/>
      <c r="G948" s="116"/>
      <c r="H948" s="116"/>
      <c r="I948" s="116"/>
      <c r="J948" s="116"/>
    </row>
    <row r="949" spans="1:10" ht="13.5" customHeight="1">
      <c r="A949" s="2"/>
      <c r="B949" s="116"/>
      <c r="C949" s="116"/>
      <c r="D949" s="116"/>
      <c r="E949" s="116"/>
      <c r="F949" s="116"/>
      <c r="G949" s="116"/>
      <c r="H949" s="116"/>
      <c r="I949" s="116"/>
      <c r="J949" s="116"/>
    </row>
    <row r="950" spans="1:10" ht="13.5" customHeight="1">
      <c r="A950" s="2"/>
      <c r="B950" s="116"/>
      <c r="C950" s="116"/>
      <c r="D950" s="116"/>
      <c r="E950" s="116"/>
      <c r="F950" s="116"/>
      <c r="G950" s="116"/>
      <c r="H950" s="116"/>
      <c r="I950" s="116"/>
      <c r="J950" s="116"/>
    </row>
    <row r="951" spans="1:10" ht="13.5" customHeight="1">
      <c r="A951" s="2"/>
      <c r="B951" s="116"/>
      <c r="C951" s="116"/>
      <c r="D951" s="116"/>
      <c r="E951" s="116"/>
      <c r="F951" s="116"/>
      <c r="G951" s="116"/>
      <c r="H951" s="116"/>
      <c r="I951" s="116"/>
      <c r="J951" s="116"/>
    </row>
    <row r="952" spans="1:10" ht="13.5" customHeight="1">
      <c r="A952" s="2"/>
      <c r="B952" s="116"/>
      <c r="C952" s="116"/>
      <c r="D952" s="116"/>
      <c r="E952" s="116"/>
      <c r="F952" s="116"/>
      <c r="G952" s="116"/>
      <c r="H952" s="116"/>
      <c r="I952" s="116"/>
      <c r="J952" s="116"/>
    </row>
    <row r="953" spans="1:10" ht="13.5" customHeight="1">
      <c r="A953" s="2"/>
      <c r="B953" s="116"/>
      <c r="C953" s="116"/>
      <c r="D953" s="116"/>
      <c r="E953" s="116"/>
      <c r="F953" s="116"/>
      <c r="G953" s="116"/>
      <c r="H953" s="116"/>
      <c r="I953" s="116"/>
      <c r="J953" s="116"/>
    </row>
    <row r="954" spans="1:10" ht="13.5" customHeight="1">
      <c r="A954" s="2"/>
      <c r="B954" s="116"/>
      <c r="C954" s="116"/>
      <c r="D954" s="116"/>
      <c r="E954" s="116"/>
      <c r="F954" s="116"/>
      <c r="G954" s="116"/>
      <c r="H954" s="116"/>
      <c r="I954" s="116"/>
      <c r="J954" s="116"/>
    </row>
    <row r="955" spans="1:10" ht="13.5" customHeight="1">
      <c r="A955" s="2"/>
      <c r="B955" s="116"/>
      <c r="C955" s="116"/>
      <c r="D955" s="116"/>
      <c r="E955" s="116"/>
      <c r="F955" s="116"/>
      <c r="G955" s="116"/>
      <c r="H955" s="116"/>
      <c r="I955" s="116"/>
      <c r="J955" s="116"/>
    </row>
    <row r="956" spans="1:10" ht="13.5" customHeight="1">
      <c r="A956" s="2"/>
      <c r="B956" s="116"/>
      <c r="C956" s="116"/>
      <c r="D956" s="116"/>
      <c r="E956" s="116"/>
      <c r="F956" s="116"/>
      <c r="G956" s="116"/>
      <c r="H956" s="116"/>
      <c r="I956" s="116"/>
      <c r="J956" s="116"/>
    </row>
    <row r="957" spans="1:10" ht="13.5" customHeight="1">
      <c r="A957" s="2"/>
      <c r="B957" s="116"/>
      <c r="C957" s="116"/>
      <c r="D957" s="116"/>
      <c r="E957" s="116"/>
      <c r="F957" s="116"/>
      <c r="G957" s="116"/>
      <c r="H957" s="116"/>
      <c r="I957" s="116"/>
      <c r="J957" s="116"/>
    </row>
    <row r="958" spans="1:10" ht="13.5" customHeight="1">
      <c r="A958" s="2"/>
      <c r="B958" s="116"/>
      <c r="C958" s="116"/>
      <c r="D958" s="116"/>
      <c r="E958" s="116"/>
      <c r="F958" s="116"/>
      <c r="G958" s="116"/>
      <c r="H958" s="116"/>
      <c r="I958" s="116"/>
      <c r="J958" s="116"/>
    </row>
    <row r="959" spans="1:10" ht="13.5" customHeight="1">
      <c r="A959" s="2"/>
      <c r="B959" s="116"/>
      <c r="C959" s="116"/>
      <c r="D959" s="116"/>
      <c r="E959" s="116"/>
      <c r="F959" s="116"/>
      <c r="G959" s="116"/>
      <c r="H959" s="116"/>
      <c r="I959" s="116"/>
      <c r="J959" s="116"/>
    </row>
    <row r="960" spans="1:10" ht="13.5" customHeight="1">
      <c r="A960" s="2"/>
      <c r="B960" s="116"/>
      <c r="C960" s="116"/>
      <c r="D960" s="116"/>
      <c r="E960" s="116"/>
      <c r="F960" s="116"/>
      <c r="G960" s="116"/>
      <c r="H960" s="116"/>
      <c r="I960" s="116"/>
      <c r="J960" s="116"/>
    </row>
    <row r="961" spans="1:10" ht="13.5" customHeight="1">
      <c r="A961" s="2"/>
      <c r="B961" s="116"/>
      <c r="C961" s="116"/>
      <c r="D961" s="116"/>
      <c r="E961" s="116"/>
      <c r="F961" s="116"/>
      <c r="G961" s="116"/>
      <c r="H961" s="116"/>
      <c r="I961" s="116"/>
      <c r="J961" s="116"/>
    </row>
    <row r="962" spans="1:10" ht="13.5" customHeight="1">
      <c r="A962" s="2"/>
      <c r="B962" s="116"/>
      <c r="C962" s="116"/>
      <c r="D962" s="116"/>
      <c r="E962" s="116"/>
      <c r="F962" s="116"/>
      <c r="G962" s="116"/>
      <c r="H962" s="116"/>
      <c r="I962" s="116"/>
      <c r="J962" s="116"/>
    </row>
    <row r="963" spans="1:10" ht="13.5" customHeight="1">
      <c r="A963" s="2"/>
      <c r="B963" s="116"/>
      <c r="C963" s="116"/>
      <c r="D963" s="116"/>
      <c r="E963" s="116"/>
      <c r="F963" s="116"/>
      <c r="G963" s="116"/>
      <c r="H963" s="116"/>
      <c r="I963" s="116"/>
      <c r="J963" s="116"/>
    </row>
    <row r="964" spans="1:10" ht="13.5" customHeight="1">
      <c r="A964" s="2"/>
      <c r="B964" s="116"/>
      <c r="C964" s="116"/>
      <c r="D964" s="116"/>
      <c r="E964" s="116"/>
      <c r="F964" s="116"/>
      <c r="G964" s="116"/>
      <c r="H964" s="116"/>
      <c r="I964" s="116"/>
      <c r="J964" s="116"/>
    </row>
    <row r="965" spans="1:10" ht="13.5" customHeight="1">
      <c r="A965" s="2"/>
      <c r="B965" s="116"/>
      <c r="C965" s="116"/>
      <c r="D965" s="116"/>
      <c r="E965" s="116"/>
      <c r="F965" s="116"/>
      <c r="G965" s="116"/>
      <c r="H965" s="116"/>
      <c r="I965" s="116"/>
      <c r="J965" s="116"/>
    </row>
    <row r="966" spans="1:10" ht="13.5" customHeight="1">
      <c r="A966" s="2"/>
      <c r="B966" s="116"/>
      <c r="C966" s="116"/>
      <c r="D966" s="116"/>
      <c r="E966" s="116"/>
      <c r="F966" s="116"/>
      <c r="G966" s="116"/>
      <c r="H966" s="116"/>
      <c r="I966" s="116"/>
      <c r="J966" s="116"/>
    </row>
    <row r="967" spans="1:10" ht="13.5" customHeight="1">
      <c r="A967" s="2"/>
      <c r="B967" s="116"/>
      <c r="C967" s="116"/>
      <c r="D967" s="116"/>
      <c r="E967" s="116"/>
      <c r="F967" s="116"/>
      <c r="G967" s="116"/>
      <c r="H967" s="116"/>
      <c r="I967" s="116"/>
      <c r="J967" s="116"/>
    </row>
    <row r="968" spans="1:10" ht="13.5" customHeight="1">
      <c r="A968" s="2"/>
      <c r="B968" s="116"/>
      <c r="C968" s="116"/>
      <c r="D968" s="116"/>
      <c r="E968" s="116"/>
      <c r="F968" s="116"/>
      <c r="G968" s="116"/>
      <c r="H968" s="116"/>
      <c r="I968" s="116"/>
      <c r="J968" s="116"/>
    </row>
    <row r="969" spans="1:10" ht="13.5" customHeight="1">
      <c r="A969" s="2"/>
      <c r="B969" s="116"/>
      <c r="C969" s="116"/>
      <c r="D969" s="116"/>
      <c r="E969" s="116"/>
      <c r="F969" s="116"/>
      <c r="G969" s="116"/>
      <c r="H969" s="116"/>
      <c r="I969" s="116"/>
      <c r="J969" s="116"/>
    </row>
    <row r="970" spans="1:10" ht="13.5" customHeight="1">
      <c r="A970" s="2"/>
      <c r="B970" s="116"/>
      <c r="C970" s="116"/>
      <c r="D970" s="116"/>
      <c r="E970" s="116"/>
      <c r="F970" s="116"/>
      <c r="G970" s="116"/>
      <c r="H970" s="116"/>
      <c r="I970" s="116"/>
      <c r="J970" s="116"/>
    </row>
    <row r="971" spans="1:10" ht="13.5" customHeight="1">
      <c r="A971" s="2"/>
      <c r="B971" s="116"/>
      <c r="C971" s="116"/>
      <c r="D971" s="116"/>
      <c r="E971" s="116"/>
      <c r="F971" s="116"/>
      <c r="G971" s="116"/>
      <c r="H971" s="116"/>
      <c r="I971" s="116"/>
      <c r="J971" s="116"/>
    </row>
    <row r="972" spans="1:10" ht="13.5" customHeight="1">
      <c r="A972" s="2"/>
      <c r="B972" s="116"/>
      <c r="C972" s="116"/>
      <c r="D972" s="116"/>
      <c r="E972" s="116"/>
      <c r="F972" s="116"/>
      <c r="G972" s="116"/>
      <c r="H972" s="116"/>
      <c r="I972" s="116"/>
      <c r="J972" s="116"/>
    </row>
    <row r="973" spans="1:10" ht="13.5" customHeight="1">
      <c r="A973" s="2"/>
      <c r="B973" s="116"/>
      <c r="C973" s="116"/>
      <c r="D973" s="116"/>
      <c r="E973" s="116"/>
      <c r="F973" s="116"/>
      <c r="G973" s="116"/>
      <c r="H973" s="116"/>
      <c r="I973" s="116"/>
      <c r="J973" s="116"/>
    </row>
    <row r="974" spans="1:10" ht="13.5" customHeight="1">
      <c r="A974" s="2"/>
      <c r="B974" s="116"/>
      <c r="C974" s="116"/>
      <c r="D974" s="116"/>
      <c r="E974" s="116"/>
      <c r="F974" s="116"/>
      <c r="G974" s="116"/>
      <c r="H974" s="116"/>
      <c r="I974" s="116"/>
      <c r="J974" s="116"/>
    </row>
    <row r="975" spans="1:10" ht="13.5" customHeight="1">
      <c r="A975" s="2"/>
      <c r="B975" s="116"/>
      <c r="C975" s="116"/>
      <c r="D975" s="116"/>
      <c r="E975" s="116"/>
      <c r="F975" s="116"/>
      <c r="G975" s="116"/>
      <c r="H975" s="116"/>
      <c r="I975" s="116"/>
      <c r="J975" s="116"/>
    </row>
    <row r="976" spans="1:10" ht="13.5" customHeight="1">
      <c r="A976" s="2"/>
      <c r="B976" s="116"/>
      <c r="C976" s="116"/>
      <c r="D976" s="116"/>
      <c r="E976" s="116"/>
      <c r="F976" s="116"/>
      <c r="G976" s="116"/>
      <c r="H976" s="116"/>
      <c r="I976" s="116"/>
      <c r="J976" s="116"/>
    </row>
    <row r="977" spans="1:10" ht="13.5" customHeight="1">
      <c r="A977" s="2"/>
      <c r="B977" s="116"/>
      <c r="C977" s="116"/>
      <c r="D977" s="116"/>
      <c r="E977" s="116"/>
      <c r="F977" s="116"/>
      <c r="G977" s="116"/>
      <c r="H977" s="116"/>
      <c r="I977" s="116"/>
      <c r="J977" s="116"/>
    </row>
    <row r="978" spans="1:10" ht="13.5" customHeight="1">
      <c r="A978" s="2"/>
      <c r="B978" s="116"/>
      <c r="C978" s="116"/>
      <c r="D978" s="116"/>
      <c r="E978" s="116"/>
      <c r="F978" s="116"/>
      <c r="G978" s="116"/>
      <c r="H978" s="116"/>
      <c r="I978" s="116"/>
      <c r="J978" s="116"/>
    </row>
    <row r="979" spans="1:10" ht="13.5" customHeight="1">
      <c r="A979" s="2"/>
      <c r="B979" s="116"/>
      <c r="C979" s="116"/>
      <c r="D979" s="116"/>
      <c r="E979" s="116"/>
      <c r="F979" s="116"/>
      <c r="G979" s="116"/>
      <c r="H979" s="116"/>
      <c r="I979" s="116"/>
      <c r="J979" s="116"/>
    </row>
    <row r="980" spans="1:10" ht="13.5" customHeight="1">
      <c r="A980" s="2"/>
      <c r="B980" s="116"/>
      <c r="C980" s="116"/>
      <c r="D980" s="116"/>
      <c r="E980" s="116"/>
      <c r="F980" s="116"/>
      <c r="G980" s="116"/>
      <c r="H980" s="116"/>
      <c r="I980" s="116"/>
      <c r="J980" s="116"/>
    </row>
    <row r="981" spans="1:10" ht="13.5" customHeight="1">
      <c r="A981" s="2"/>
      <c r="B981" s="116"/>
      <c r="C981" s="116"/>
      <c r="D981" s="116"/>
      <c r="E981" s="116"/>
      <c r="F981" s="116"/>
      <c r="G981" s="116"/>
      <c r="H981" s="116"/>
      <c r="I981" s="116"/>
      <c r="J981" s="116"/>
    </row>
    <row r="982" spans="1:10" ht="13.5" customHeight="1">
      <c r="A982" s="2"/>
      <c r="B982" s="116"/>
      <c r="C982" s="116"/>
      <c r="D982" s="116"/>
      <c r="E982" s="116"/>
      <c r="F982" s="116"/>
      <c r="G982" s="116"/>
      <c r="H982" s="116"/>
      <c r="I982" s="116"/>
      <c r="J982" s="116"/>
    </row>
    <row r="983" spans="1:10" ht="13.5" customHeight="1">
      <c r="A983" s="2"/>
      <c r="B983" s="116"/>
      <c r="C983" s="116"/>
      <c r="D983" s="116"/>
      <c r="E983" s="116"/>
      <c r="F983" s="116"/>
      <c r="G983" s="116"/>
      <c r="H983" s="116"/>
      <c r="I983" s="116"/>
      <c r="J983" s="116"/>
    </row>
    <row r="984" spans="1:10" ht="13.5" customHeight="1">
      <c r="A984" s="2"/>
      <c r="B984" s="116"/>
      <c r="C984" s="116"/>
      <c r="D984" s="116"/>
      <c r="E984" s="116"/>
      <c r="F984" s="116"/>
      <c r="G984" s="116"/>
      <c r="H984" s="116"/>
      <c r="I984" s="116"/>
      <c r="J984" s="116"/>
    </row>
    <row r="985" spans="1:10" ht="13.5" customHeight="1">
      <c r="A985" s="2"/>
      <c r="B985" s="116"/>
      <c r="C985" s="116"/>
      <c r="D985" s="116"/>
      <c r="E985" s="116"/>
      <c r="F985" s="116"/>
      <c r="G985" s="116"/>
      <c r="H985" s="116"/>
      <c r="I985" s="116"/>
      <c r="J985" s="116"/>
    </row>
    <row r="986" spans="1:10" ht="13.5" customHeight="1">
      <c r="A986" s="2"/>
      <c r="B986" s="116"/>
      <c r="C986" s="116"/>
      <c r="D986" s="116"/>
      <c r="E986" s="116"/>
      <c r="F986" s="116"/>
      <c r="G986" s="116"/>
      <c r="H986" s="116"/>
      <c r="I986" s="116"/>
      <c r="J986" s="116"/>
    </row>
    <row r="987" spans="1:10" ht="13.5" customHeight="1">
      <c r="A987" s="2"/>
      <c r="B987" s="116"/>
      <c r="C987" s="116"/>
      <c r="D987" s="116"/>
      <c r="E987" s="116"/>
      <c r="F987" s="116"/>
      <c r="G987" s="116"/>
      <c r="H987" s="116"/>
      <c r="I987" s="116"/>
      <c r="J987" s="116"/>
    </row>
    <row r="988" spans="1:10" ht="13.5" customHeight="1">
      <c r="A988" s="2"/>
      <c r="B988" s="116"/>
      <c r="C988" s="116"/>
      <c r="D988" s="116"/>
      <c r="E988" s="116"/>
      <c r="F988" s="116"/>
      <c r="G988" s="116"/>
      <c r="H988" s="116"/>
      <c r="I988" s="116"/>
      <c r="J988" s="116"/>
    </row>
    <row r="989" spans="1:10" ht="13.5" customHeight="1">
      <c r="A989" s="2"/>
      <c r="B989" s="116"/>
      <c r="C989" s="116"/>
      <c r="D989" s="116"/>
      <c r="E989" s="116"/>
      <c r="F989" s="116"/>
      <c r="G989" s="116"/>
      <c r="H989" s="116"/>
      <c r="I989" s="116"/>
      <c r="J989" s="116"/>
    </row>
    <row r="990" spans="1:10" ht="13.5" customHeight="1">
      <c r="A990" s="2"/>
      <c r="B990" s="116"/>
      <c r="C990" s="116"/>
      <c r="D990" s="116"/>
      <c r="E990" s="116"/>
      <c r="F990" s="116"/>
      <c r="G990" s="116"/>
      <c r="H990" s="116"/>
      <c r="I990" s="116"/>
      <c r="J990" s="116"/>
    </row>
    <row r="991" spans="1:10" ht="13.5" customHeight="1">
      <c r="A991" s="2"/>
      <c r="B991" s="116"/>
      <c r="C991" s="116"/>
      <c r="D991" s="116"/>
      <c r="E991" s="116"/>
      <c r="F991" s="116"/>
      <c r="G991" s="116"/>
      <c r="H991" s="116"/>
      <c r="I991" s="116"/>
      <c r="J991" s="116"/>
    </row>
    <row r="992" spans="1:10" ht="13.5" customHeight="1">
      <c r="A992" s="2"/>
      <c r="B992" s="116"/>
      <c r="C992" s="116"/>
      <c r="D992" s="116"/>
      <c r="E992" s="116"/>
      <c r="F992" s="116"/>
      <c r="G992" s="116"/>
      <c r="H992" s="116"/>
      <c r="I992" s="116"/>
      <c r="J992" s="116"/>
    </row>
    <row r="993" spans="1:10" ht="13.5" customHeight="1">
      <c r="A993" s="2"/>
      <c r="B993" s="116"/>
      <c r="C993" s="116"/>
      <c r="D993" s="116"/>
      <c r="E993" s="116"/>
      <c r="F993" s="116"/>
      <c r="G993" s="116"/>
      <c r="H993" s="116"/>
      <c r="I993" s="116"/>
      <c r="J993" s="116"/>
    </row>
    <row r="994" spans="1:10" ht="13.5" customHeight="1">
      <c r="A994" s="2"/>
      <c r="B994" s="116"/>
      <c r="C994" s="116"/>
      <c r="D994" s="116"/>
      <c r="E994" s="116"/>
      <c r="F994" s="116"/>
      <c r="G994" s="116"/>
      <c r="H994" s="116"/>
      <c r="I994" s="116"/>
      <c r="J994" s="116"/>
    </row>
    <row r="995" spans="1:10" ht="13.5" customHeight="1">
      <c r="A995" s="2"/>
      <c r="B995" s="116"/>
      <c r="C995" s="116"/>
      <c r="D995" s="116"/>
      <c r="E995" s="116"/>
      <c r="F995" s="116"/>
      <c r="G995" s="116"/>
      <c r="H995" s="116"/>
      <c r="I995" s="116"/>
      <c r="J995" s="116"/>
    </row>
    <row r="996" spans="1:10" ht="13.5" customHeight="1">
      <c r="A996" s="2"/>
      <c r="B996" s="116"/>
      <c r="C996" s="116"/>
      <c r="D996" s="116"/>
      <c r="E996" s="116"/>
      <c r="F996" s="116"/>
      <c r="G996" s="116"/>
      <c r="H996" s="116"/>
      <c r="I996" s="116"/>
      <c r="J996" s="116"/>
    </row>
    <row r="997" spans="1:10" ht="13.5" customHeight="1">
      <c r="A997" s="2"/>
      <c r="B997" s="116"/>
      <c r="C997" s="116"/>
      <c r="D997" s="116"/>
      <c r="E997" s="116"/>
      <c r="F997" s="116"/>
      <c r="G997" s="116"/>
      <c r="H997" s="116"/>
      <c r="I997" s="116"/>
      <c r="J997" s="116"/>
    </row>
    <row r="998" spans="1:10" ht="13.5" customHeight="1">
      <c r="A998" s="2"/>
      <c r="B998" s="116"/>
      <c r="C998" s="116"/>
      <c r="D998" s="116"/>
      <c r="E998" s="116"/>
      <c r="F998" s="116"/>
      <c r="G998" s="116"/>
      <c r="H998" s="116"/>
      <c r="I998" s="116"/>
      <c r="J998" s="116"/>
    </row>
    <row r="999" spans="1:10" ht="13.5" customHeight="1">
      <c r="A999" s="2"/>
      <c r="B999" s="116"/>
      <c r="C999" s="116"/>
      <c r="D999" s="116"/>
      <c r="E999" s="116"/>
      <c r="F999" s="116"/>
      <c r="G999" s="116"/>
      <c r="H999" s="116"/>
      <c r="I999" s="116"/>
      <c r="J999" s="116"/>
    </row>
    <row r="1000" spans="1:10" ht="13.5" customHeight="1">
      <c r="A1000" s="2"/>
      <c r="B1000" s="116"/>
      <c r="C1000" s="116"/>
      <c r="D1000" s="116"/>
      <c r="E1000" s="116"/>
      <c r="F1000" s="116"/>
      <c r="G1000" s="116"/>
      <c r="H1000" s="116"/>
      <c r="I1000" s="116"/>
      <c r="J1000" s="116"/>
    </row>
    <row r="1001" spans="1:10" ht="13.5" customHeight="1">
      <c r="A1001" s="2"/>
      <c r="B1001" s="116"/>
      <c r="C1001" s="116"/>
      <c r="D1001" s="116"/>
      <c r="E1001" s="116"/>
      <c r="F1001" s="116"/>
      <c r="G1001" s="116"/>
      <c r="H1001" s="116"/>
      <c r="I1001" s="116"/>
      <c r="J1001" s="116"/>
    </row>
    <row r="1002" spans="1:10" ht="13.5" customHeight="1">
      <c r="A1002" s="2"/>
      <c r="B1002" s="116"/>
      <c r="C1002" s="116"/>
      <c r="D1002" s="116"/>
      <c r="E1002" s="116"/>
      <c r="F1002" s="116"/>
      <c r="G1002" s="116"/>
      <c r="H1002" s="116"/>
      <c r="I1002" s="116"/>
      <c r="J1002" s="116"/>
    </row>
    <row r="1003" spans="1:10" ht="13.5" customHeight="1">
      <c r="A1003" s="2"/>
      <c r="B1003" s="116"/>
      <c r="C1003" s="116"/>
      <c r="D1003" s="116"/>
      <c r="E1003" s="116"/>
      <c r="F1003" s="116"/>
      <c r="G1003" s="116"/>
      <c r="H1003" s="116"/>
      <c r="I1003" s="116"/>
      <c r="J1003" s="116"/>
    </row>
    <row r="1004" spans="1:10" ht="13.5" customHeight="1">
      <c r="A1004" s="2"/>
      <c r="B1004" s="116"/>
      <c r="C1004" s="116"/>
      <c r="D1004" s="116"/>
      <c r="E1004" s="116"/>
      <c r="F1004" s="116"/>
      <c r="G1004" s="116"/>
      <c r="H1004" s="116"/>
      <c r="I1004" s="116"/>
      <c r="J1004" s="116"/>
    </row>
    <row r="1005" spans="1:10" ht="13.5" customHeight="1">
      <c r="A1005" s="2"/>
      <c r="B1005" s="116"/>
      <c r="C1005" s="116"/>
      <c r="D1005" s="116"/>
      <c r="E1005" s="116"/>
      <c r="F1005" s="116"/>
      <c r="G1005" s="116"/>
      <c r="H1005" s="116"/>
      <c r="I1005" s="116"/>
      <c r="J1005" s="116"/>
    </row>
    <row r="1006" spans="1:10" ht="13.5" customHeight="1">
      <c r="A1006" s="2"/>
      <c r="B1006" s="116"/>
      <c r="C1006" s="116"/>
      <c r="D1006" s="116"/>
      <c r="E1006" s="116"/>
      <c r="F1006" s="116"/>
      <c r="G1006" s="116"/>
      <c r="H1006" s="116"/>
      <c r="I1006" s="116"/>
      <c r="J1006" s="116"/>
    </row>
    <row r="1007" spans="1:10" ht="13.5" customHeight="1">
      <c r="A1007" s="2"/>
      <c r="B1007" s="116"/>
      <c r="C1007" s="116"/>
      <c r="D1007" s="116"/>
      <c r="E1007" s="116"/>
      <c r="F1007" s="116"/>
      <c r="G1007" s="116"/>
      <c r="H1007" s="116"/>
      <c r="I1007" s="116"/>
      <c r="J1007" s="116"/>
    </row>
    <row r="1008" spans="1:10" ht="13.5" customHeight="1">
      <c r="A1008" s="2"/>
      <c r="B1008" s="116"/>
      <c r="C1008" s="116"/>
      <c r="D1008" s="116"/>
      <c r="E1008" s="116"/>
      <c r="F1008" s="116"/>
      <c r="G1008" s="116"/>
      <c r="H1008" s="116"/>
      <c r="I1008" s="116"/>
      <c r="J1008" s="116"/>
    </row>
    <row r="1009" spans="1:10" ht="13.5" customHeight="1">
      <c r="A1009" s="2"/>
      <c r="B1009" s="116"/>
      <c r="C1009" s="116"/>
      <c r="D1009" s="116"/>
      <c r="E1009" s="116"/>
      <c r="F1009" s="116"/>
      <c r="G1009" s="116"/>
      <c r="H1009" s="116"/>
      <c r="I1009" s="116"/>
      <c r="J1009" s="116"/>
    </row>
    <row r="1010" spans="1:10" ht="13.5" customHeight="1">
      <c r="A1010" s="2"/>
      <c r="B1010" s="116"/>
      <c r="C1010" s="116"/>
      <c r="D1010" s="116"/>
      <c r="E1010" s="116"/>
      <c r="F1010" s="116"/>
      <c r="G1010" s="116"/>
      <c r="H1010" s="116"/>
      <c r="I1010" s="116"/>
      <c r="J1010" s="116"/>
    </row>
    <row r="1011" spans="1:10" ht="13.5" customHeight="1">
      <c r="A1011" s="2"/>
      <c r="B1011" s="116"/>
      <c r="C1011" s="116"/>
      <c r="D1011" s="116"/>
      <c r="E1011" s="116"/>
      <c r="F1011" s="116"/>
      <c r="G1011" s="116"/>
      <c r="H1011" s="116"/>
      <c r="I1011" s="116"/>
      <c r="J1011" s="116"/>
    </row>
    <row r="1012" spans="1:10" ht="13.5" customHeight="1">
      <c r="A1012" s="2"/>
      <c r="B1012" s="116"/>
      <c r="C1012" s="116"/>
      <c r="D1012" s="116"/>
      <c r="E1012" s="116"/>
      <c r="F1012" s="116"/>
      <c r="G1012" s="116"/>
      <c r="H1012" s="116"/>
      <c r="I1012" s="116"/>
      <c r="J1012" s="116"/>
    </row>
    <row r="1013" spans="1:10" ht="13.5" customHeight="1">
      <c r="A1013" s="2"/>
      <c r="B1013" s="116"/>
      <c r="C1013" s="116"/>
      <c r="D1013" s="116"/>
      <c r="E1013" s="116"/>
      <c r="F1013" s="116"/>
      <c r="G1013" s="116"/>
      <c r="H1013" s="116"/>
      <c r="I1013" s="116"/>
      <c r="J1013" s="116"/>
    </row>
    <row r="1014" spans="1:10" ht="13.5" customHeight="1">
      <c r="A1014" s="2"/>
      <c r="B1014" s="116"/>
      <c r="C1014" s="116"/>
      <c r="D1014" s="116"/>
      <c r="E1014" s="116"/>
      <c r="F1014" s="116"/>
      <c r="G1014" s="116"/>
      <c r="H1014" s="116"/>
      <c r="I1014" s="116"/>
      <c r="J1014" s="116"/>
    </row>
    <row r="1015" spans="1:10" ht="13.5" customHeight="1">
      <c r="A1015" s="2"/>
      <c r="B1015" s="116"/>
      <c r="C1015" s="116"/>
      <c r="D1015" s="116"/>
      <c r="E1015" s="116"/>
      <c r="F1015" s="116"/>
      <c r="G1015" s="116"/>
      <c r="H1015" s="116"/>
      <c r="I1015" s="116"/>
      <c r="J1015" s="116"/>
    </row>
    <row r="1016" spans="1:10" ht="13.5" customHeight="1">
      <c r="A1016" s="2"/>
      <c r="B1016" s="116"/>
      <c r="C1016" s="116"/>
      <c r="D1016" s="116"/>
      <c r="E1016" s="116"/>
      <c r="F1016" s="116"/>
      <c r="G1016" s="116"/>
      <c r="H1016" s="116"/>
      <c r="I1016" s="116"/>
      <c r="J1016" s="116"/>
    </row>
    <row r="1017" spans="1:10" ht="13.5" customHeight="1">
      <c r="A1017" s="2"/>
      <c r="B1017" s="116"/>
      <c r="C1017" s="116"/>
      <c r="D1017" s="116"/>
      <c r="E1017" s="116"/>
      <c r="F1017" s="116"/>
      <c r="G1017" s="116"/>
      <c r="H1017" s="116"/>
      <c r="I1017" s="116"/>
      <c r="J1017" s="116"/>
    </row>
    <row r="1018" spans="1:10" ht="13.5" customHeight="1">
      <c r="A1018" s="2"/>
      <c r="B1018" s="116"/>
      <c r="C1018" s="116"/>
      <c r="D1018" s="116"/>
      <c r="E1018" s="116"/>
      <c r="F1018" s="116"/>
      <c r="G1018" s="116"/>
      <c r="H1018" s="116"/>
      <c r="I1018" s="116"/>
      <c r="J1018" s="116"/>
    </row>
    <row r="1019" spans="1:10" ht="13.5" customHeight="1">
      <c r="A1019" s="2"/>
      <c r="B1019" s="116"/>
      <c r="C1019" s="116"/>
      <c r="D1019" s="116"/>
      <c r="E1019" s="116"/>
      <c r="F1019" s="116"/>
      <c r="G1019" s="116"/>
      <c r="H1019" s="116"/>
      <c r="I1019" s="116"/>
      <c r="J1019" s="116"/>
    </row>
    <row r="1020" spans="1:10" ht="13.5" customHeight="1">
      <c r="A1020" s="2"/>
      <c r="B1020" s="116"/>
      <c r="C1020" s="116"/>
      <c r="D1020" s="116"/>
      <c r="E1020" s="116"/>
      <c r="F1020" s="116"/>
      <c r="G1020" s="116"/>
      <c r="H1020" s="116"/>
      <c r="I1020" s="116"/>
      <c r="J1020" s="116"/>
    </row>
    <row r="1021" spans="1:10" ht="13.5" customHeight="1">
      <c r="A1021" s="2"/>
      <c r="B1021" s="116"/>
      <c r="C1021" s="116"/>
      <c r="D1021" s="116"/>
      <c r="E1021" s="116"/>
      <c r="F1021" s="116"/>
      <c r="G1021" s="116"/>
      <c r="H1021" s="116"/>
      <c r="I1021" s="116"/>
      <c r="J1021" s="116"/>
    </row>
    <row r="1022" spans="1:10" ht="13.5" customHeight="1">
      <c r="A1022" s="2"/>
      <c r="B1022" s="116"/>
      <c r="C1022" s="116"/>
      <c r="D1022" s="116"/>
      <c r="E1022" s="116"/>
      <c r="F1022" s="116"/>
      <c r="G1022" s="116"/>
      <c r="H1022" s="116"/>
      <c r="I1022" s="116"/>
      <c r="J1022" s="116"/>
    </row>
    <row r="1023" spans="1:10" ht="13.5" customHeight="1">
      <c r="A1023" s="2"/>
      <c r="B1023" s="116"/>
      <c r="C1023" s="116"/>
      <c r="D1023" s="116"/>
      <c r="E1023" s="116"/>
      <c r="F1023" s="116"/>
      <c r="G1023" s="116"/>
      <c r="H1023" s="116"/>
      <c r="I1023" s="116"/>
      <c r="J1023" s="116"/>
    </row>
    <row r="1024" spans="1:10" ht="13.5" customHeight="1">
      <c r="A1024" s="2"/>
      <c r="B1024" s="116"/>
      <c r="C1024" s="116"/>
      <c r="D1024" s="116"/>
      <c r="E1024" s="116"/>
      <c r="F1024" s="116"/>
      <c r="G1024" s="116"/>
      <c r="H1024" s="116"/>
      <c r="I1024" s="116"/>
      <c r="J1024" s="116"/>
    </row>
    <row r="1025" spans="1:10" ht="13.5" customHeight="1">
      <c r="A1025" s="2"/>
      <c r="B1025" s="116"/>
      <c r="C1025" s="116"/>
      <c r="D1025" s="116"/>
      <c r="E1025" s="116"/>
      <c r="F1025" s="116"/>
      <c r="G1025" s="116"/>
      <c r="H1025" s="116"/>
      <c r="I1025" s="116"/>
      <c r="J1025" s="116"/>
    </row>
    <row r="1026" spans="1:10" ht="13.5" customHeight="1">
      <c r="A1026" s="2"/>
      <c r="B1026" s="116"/>
      <c r="C1026" s="116"/>
      <c r="D1026" s="116"/>
      <c r="E1026" s="116"/>
      <c r="F1026" s="116"/>
      <c r="G1026" s="116"/>
      <c r="H1026" s="116"/>
      <c r="I1026" s="116"/>
      <c r="J1026" s="116"/>
    </row>
    <row r="1027" spans="1:10" ht="13.5" customHeight="1">
      <c r="A1027" s="2"/>
      <c r="B1027" s="116"/>
      <c r="C1027" s="116"/>
      <c r="D1027" s="116"/>
      <c r="E1027" s="116"/>
      <c r="F1027" s="116"/>
      <c r="G1027" s="116"/>
      <c r="H1027" s="116"/>
      <c r="I1027" s="116"/>
      <c r="J1027" s="116"/>
    </row>
    <row r="1028" spans="1:10" ht="13.5" customHeight="1">
      <c r="A1028" s="2"/>
      <c r="B1028" s="116"/>
      <c r="C1028" s="116"/>
      <c r="D1028" s="116"/>
      <c r="E1028" s="116"/>
      <c r="F1028" s="116"/>
      <c r="G1028" s="116"/>
      <c r="H1028" s="116"/>
      <c r="I1028" s="116"/>
      <c r="J1028" s="116"/>
    </row>
    <row r="1029" spans="1:10" ht="13.5" customHeight="1">
      <c r="A1029" s="2"/>
      <c r="B1029" s="116"/>
      <c r="C1029" s="116"/>
      <c r="D1029" s="116"/>
      <c r="E1029" s="116"/>
      <c r="F1029" s="116"/>
      <c r="G1029" s="116"/>
      <c r="H1029" s="116"/>
      <c r="I1029" s="116"/>
      <c r="J1029" s="116"/>
    </row>
    <row r="1030" spans="1:10" ht="13.5" customHeight="1">
      <c r="A1030" s="2"/>
      <c r="B1030" s="116"/>
      <c r="C1030" s="116"/>
      <c r="D1030" s="116"/>
      <c r="E1030" s="116"/>
      <c r="F1030" s="116"/>
      <c r="G1030" s="116"/>
      <c r="H1030" s="116"/>
      <c r="I1030" s="116"/>
      <c r="J1030" s="116"/>
    </row>
    <row r="1031" spans="1:10" ht="13.5" customHeight="1">
      <c r="A1031" s="2"/>
      <c r="B1031" s="116"/>
      <c r="C1031" s="116"/>
      <c r="D1031" s="116"/>
      <c r="E1031" s="116"/>
      <c r="F1031" s="116"/>
      <c r="G1031" s="116"/>
      <c r="H1031" s="116"/>
      <c r="I1031" s="116"/>
      <c r="J1031" s="116"/>
    </row>
    <row r="1032" spans="1:10" ht="13.5" customHeight="1">
      <c r="A1032" s="2"/>
      <c r="B1032" s="116"/>
      <c r="C1032" s="116"/>
      <c r="D1032" s="116"/>
      <c r="E1032" s="116"/>
      <c r="F1032" s="116"/>
      <c r="G1032" s="116"/>
      <c r="H1032" s="116"/>
      <c r="I1032" s="116"/>
      <c r="J1032" s="116"/>
    </row>
    <row r="1033" spans="1:10" ht="13.5" customHeight="1">
      <c r="A1033" s="2"/>
      <c r="B1033" s="116"/>
      <c r="C1033" s="116"/>
      <c r="D1033" s="116"/>
      <c r="E1033" s="116"/>
      <c r="F1033" s="116"/>
      <c r="G1033" s="116"/>
      <c r="H1033" s="116"/>
      <c r="I1033" s="116"/>
      <c r="J1033" s="116"/>
    </row>
    <row r="1034" spans="1:10" ht="13.5" customHeight="1">
      <c r="A1034" s="2"/>
      <c r="B1034" s="116"/>
      <c r="C1034" s="116"/>
      <c r="D1034" s="116"/>
      <c r="E1034" s="116"/>
      <c r="F1034" s="116"/>
      <c r="G1034" s="116"/>
      <c r="H1034" s="116"/>
      <c r="I1034" s="116"/>
      <c r="J1034" s="116"/>
    </row>
    <row r="1035" spans="1:10" ht="13.5" customHeight="1">
      <c r="A1035" s="2"/>
      <c r="B1035" s="116"/>
      <c r="C1035" s="116"/>
      <c r="D1035" s="116"/>
      <c r="E1035" s="116"/>
      <c r="F1035" s="116"/>
      <c r="G1035" s="116"/>
      <c r="H1035" s="116"/>
      <c r="I1035" s="116"/>
      <c r="J1035" s="116"/>
    </row>
    <row r="1036" spans="1:10" ht="13.5" customHeight="1">
      <c r="A1036" s="2"/>
      <c r="B1036" s="116"/>
      <c r="C1036" s="116"/>
      <c r="D1036" s="116"/>
      <c r="E1036" s="116"/>
      <c r="F1036" s="116"/>
      <c r="G1036" s="116"/>
      <c r="H1036" s="116"/>
      <c r="I1036" s="116"/>
      <c r="J1036" s="116"/>
    </row>
    <row r="1037" spans="1:10" ht="13.5" customHeight="1">
      <c r="A1037" s="2"/>
      <c r="B1037" s="116"/>
      <c r="C1037" s="116"/>
      <c r="D1037" s="116"/>
      <c r="E1037" s="116"/>
      <c r="F1037" s="116"/>
      <c r="G1037" s="116"/>
      <c r="H1037" s="116"/>
      <c r="I1037" s="116"/>
      <c r="J1037" s="116"/>
    </row>
    <row r="1038" spans="1:10" ht="13.5" customHeight="1">
      <c r="A1038" s="2"/>
      <c r="B1038" s="116"/>
      <c r="C1038" s="116"/>
      <c r="D1038" s="116"/>
      <c r="E1038" s="116"/>
      <c r="F1038" s="116"/>
      <c r="G1038" s="116"/>
      <c r="H1038" s="116"/>
      <c r="I1038" s="116"/>
      <c r="J1038" s="116"/>
    </row>
    <row r="1039" spans="1:10" ht="13.5" customHeight="1">
      <c r="A1039" s="2"/>
      <c r="B1039" s="116"/>
      <c r="C1039" s="116"/>
      <c r="D1039" s="116"/>
      <c r="E1039" s="116"/>
      <c r="F1039" s="116"/>
      <c r="G1039" s="116"/>
      <c r="H1039" s="116"/>
      <c r="I1039" s="116"/>
      <c r="J1039" s="116"/>
    </row>
    <row r="1040" spans="1:10" ht="13.5" customHeight="1">
      <c r="A1040" s="2"/>
      <c r="B1040" s="116"/>
      <c r="C1040" s="116"/>
      <c r="D1040" s="116"/>
      <c r="E1040" s="116"/>
      <c r="F1040" s="116"/>
      <c r="G1040" s="116"/>
      <c r="H1040" s="116"/>
      <c r="I1040" s="116"/>
      <c r="J1040" s="116"/>
    </row>
    <row r="1041" spans="1:10" ht="13.5" customHeight="1">
      <c r="A1041" s="2"/>
      <c r="B1041" s="116"/>
      <c r="C1041" s="116"/>
      <c r="D1041" s="116"/>
      <c r="E1041" s="116"/>
      <c r="F1041" s="116"/>
      <c r="G1041" s="116"/>
      <c r="H1041" s="116"/>
      <c r="I1041" s="116"/>
      <c r="J1041" s="116"/>
    </row>
    <row r="1042" spans="1:10" ht="13.5" customHeight="1">
      <c r="A1042" s="2"/>
      <c r="B1042" s="116"/>
      <c r="C1042" s="116"/>
      <c r="D1042" s="116"/>
      <c r="E1042" s="116"/>
      <c r="F1042" s="116"/>
      <c r="G1042" s="116"/>
      <c r="H1042" s="116"/>
      <c r="I1042" s="116"/>
      <c r="J1042" s="116"/>
    </row>
    <row r="1043" spans="1:10" ht="13.5" customHeight="1">
      <c r="A1043" s="2"/>
      <c r="B1043" s="116"/>
      <c r="C1043" s="116"/>
      <c r="D1043" s="116"/>
      <c r="E1043" s="116"/>
      <c r="F1043" s="116"/>
      <c r="G1043" s="116"/>
      <c r="H1043" s="116"/>
      <c r="I1043" s="116"/>
      <c r="J1043" s="116"/>
    </row>
    <row r="1044" spans="1:10" ht="13.5" customHeight="1">
      <c r="A1044" s="2"/>
      <c r="B1044" s="116"/>
      <c r="C1044" s="116"/>
      <c r="D1044" s="116"/>
      <c r="E1044" s="116"/>
      <c r="F1044" s="116"/>
      <c r="G1044" s="116"/>
      <c r="H1044" s="116"/>
      <c r="I1044" s="116"/>
      <c r="J1044" s="116"/>
    </row>
    <row r="1045" spans="1:10" ht="13.5" customHeight="1">
      <c r="A1045" s="2"/>
      <c r="B1045" s="116"/>
      <c r="C1045" s="116"/>
      <c r="D1045" s="116"/>
      <c r="E1045" s="116"/>
      <c r="F1045" s="116"/>
      <c r="G1045" s="116"/>
      <c r="H1045" s="116"/>
      <c r="I1045" s="116"/>
      <c r="J1045" s="116"/>
    </row>
    <row r="1046" spans="1:10" ht="13.5" customHeight="1">
      <c r="A1046" s="2"/>
      <c r="B1046" s="116"/>
      <c r="C1046" s="116"/>
      <c r="D1046" s="116"/>
      <c r="E1046" s="116"/>
      <c r="F1046" s="116"/>
      <c r="G1046" s="116"/>
      <c r="H1046" s="116"/>
      <c r="I1046" s="116"/>
      <c r="J1046" s="116"/>
    </row>
    <row r="1047" spans="1:10" ht="13.5" customHeight="1">
      <c r="A1047" s="2"/>
      <c r="B1047" s="116"/>
      <c r="C1047" s="116"/>
      <c r="D1047" s="116"/>
      <c r="E1047" s="116"/>
      <c r="F1047" s="116"/>
      <c r="G1047" s="116"/>
      <c r="H1047" s="116"/>
      <c r="I1047" s="116"/>
      <c r="J1047" s="116"/>
    </row>
    <row r="1048" spans="1:10" ht="13.5" customHeight="1">
      <c r="A1048" s="2"/>
      <c r="B1048" s="116"/>
      <c r="C1048" s="116"/>
      <c r="D1048" s="116"/>
      <c r="E1048" s="116"/>
      <c r="F1048" s="116"/>
      <c r="G1048" s="116"/>
      <c r="H1048" s="116"/>
      <c r="I1048" s="116"/>
      <c r="J1048" s="116"/>
    </row>
    <row r="1049" spans="1:10" ht="13.5" customHeight="1">
      <c r="A1049" s="2"/>
      <c r="B1049" s="116"/>
      <c r="C1049" s="116"/>
      <c r="D1049" s="116"/>
      <c r="E1049" s="116"/>
      <c r="F1049" s="116"/>
      <c r="G1049" s="116"/>
      <c r="H1049" s="116"/>
      <c r="I1049" s="116"/>
      <c r="J1049" s="116"/>
    </row>
    <row r="1050" spans="1:10" ht="13.5" customHeight="1">
      <c r="A1050" s="2"/>
      <c r="B1050" s="116"/>
      <c r="C1050" s="116"/>
      <c r="D1050" s="116"/>
      <c r="E1050" s="116"/>
      <c r="F1050" s="116"/>
      <c r="G1050" s="116"/>
      <c r="H1050" s="116"/>
      <c r="I1050" s="116"/>
      <c r="J1050" s="116"/>
    </row>
    <row r="1051" spans="1:10" ht="13.5" customHeight="1">
      <c r="A1051" s="2"/>
      <c r="B1051" s="116"/>
      <c r="C1051" s="116"/>
      <c r="D1051" s="116"/>
      <c r="E1051" s="116"/>
      <c r="F1051" s="116"/>
      <c r="G1051" s="116"/>
      <c r="H1051" s="116"/>
      <c r="I1051" s="116"/>
      <c r="J1051" s="116"/>
    </row>
    <row r="1052" spans="1:10" ht="13.5" customHeight="1">
      <c r="A1052" s="2"/>
      <c r="B1052" s="116"/>
      <c r="C1052" s="116"/>
      <c r="D1052" s="116"/>
      <c r="E1052" s="116"/>
      <c r="F1052" s="116"/>
      <c r="G1052" s="116"/>
      <c r="H1052" s="116"/>
      <c r="I1052" s="116"/>
      <c r="J1052" s="116"/>
    </row>
    <row r="1053" spans="1:10" ht="13.5" customHeight="1">
      <c r="A1053" s="2"/>
      <c r="B1053" s="116"/>
      <c r="C1053" s="116"/>
      <c r="D1053" s="116"/>
      <c r="E1053" s="116"/>
      <c r="F1053" s="116"/>
      <c r="G1053" s="116"/>
      <c r="H1053" s="116"/>
      <c r="I1053" s="116"/>
      <c r="J1053" s="116"/>
    </row>
    <row r="1054" spans="1:10" ht="13.5" customHeight="1">
      <c r="A1054" s="2"/>
      <c r="B1054" s="116"/>
      <c r="C1054" s="116"/>
      <c r="D1054" s="116"/>
      <c r="E1054" s="116"/>
      <c r="F1054" s="116"/>
      <c r="G1054" s="116"/>
      <c r="H1054" s="116"/>
      <c r="I1054" s="116"/>
      <c r="J1054" s="116"/>
    </row>
    <row r="1055" spans="1:10" ht="13.5" customHeight="1">
      <c r="A1055" s="2"/>
      <c r="B1055" s="116"/>
      <c r="C1055" s="116"/>
      <c r="D1055" s="116"/>
      <c r="E1055" s="116"/>
      <c r="F1055" s="116"/>
      <c r="G1055" s="116"/>
      <c r="H1055" s="116"/>
      <c r="I1055" s="116"/>
      <c r="J1055" s="116"/>
    </row>
    <row r="1056" spans="1:10" ht="13.5" customHeight="1">
      <c r="A1056" s="2"/>
      <c r="B1056" s="116"/>
      <c r="C1056" s="116"/>
      <c r="D1056" s="116"/>
      <c r="E1056" s="116"/>
      <c r="F1056" s="116"/>
      <c r="G1056" s="116"/>
      <c r="H1056" s="116"/>
      <c r="I1056" s="116"/>
      <c r="J1056" s="116"/>
    </row>
    <row r="1057" spans="1:10" ht="13.5" customHeight="1">
      <c r="A1057" s="2"/>
      <c r="B1057" s="116"/>
      <c r="C1057" s="116"/>
      <c r="D1057" s="116"/>
      <c r="E1057" s="116"/>
      <c r="F1057" s="116"/>
      <c r="G1057" s="116"/>
      <c r="H1057" s="116"/>
      <c r="I1057" s="116"/>
      <c r="J1057" s="116"/>
    </row>
    <row r="1058" spans="1:10" ht="13.5" customHeight="1">
      <c r="A1058" s="2"/>
      <c r="B1058" s="116"/>
      <c r="C1058" s="116"/>
      <c r="D1058" s="116"/>
      <c r="E1058" s="116"/>
      <c r="F1058" s="116"/>
      <c r="G1058" s="116"/>
      <c r="H1058" s="116"/>
      <c r="I1058" s="116"/>
      <c r="J1058" s="116"/>
    </row>
    <row r="1059" spans="1:10" ht="13.5" customHeight="1">
      <c r="A1059" s="2"/>
      <c r="B1059" s="116"/>
      <c r="C1059" s="116"/>
      <c r="D1059" s="116"/>
      <c r="E1059" s="116"/>
      <c r="F1059" s="116"/>
      <c r="G1059" s="116"/>
      <c r="H1059" s="116"/>
      <c r="I1059" s="116"/>
      <c r="J1059" s="116"/>
    </row>
    <row r="1060" spans="1:10" ht="13.5" customHeight="1">
      <c r="A1060" s="2"/>
      <c r="B1060" s="116"/>
      <c r="C1060" s="116"/>
      <c r="D1060" s="116"/>
      <c r="E1060" s="116"/>
      <c r="F1060" s="116"/>
      <c r="G1060" s="116"/>
      <c r="H1060" s="116"/>
      <c r="I1060" s="116"/>
      <c r="J1060" s="116"/>
    </row>
    <row r="1061" spans="1:10" ht="13.5" customHeight="1">
      <c r="A1061" s="2"/>
      <c r="B1061" s="116"/>
      <c r="C1061" s="116"/>
      <c r="D1061" s="116"/>
      <c r="E1061" s="116"/>
      <c r="F1061" s="116"/>
      <c r="G1061" s="116"/>
      <c r="H1061" s="116"/>
      <c r="I1061" s="116"/>
      <c r="J1061" s="116"/>
    </row>
    <row r="1062" spans="1:10" ht="13.5" customHeight="1">
      <c r="A1062" s="2"/>
      <c r="B1062" s="116"/>
      <c r="C1062" s="116"/>
      <c r="D1062" s="116"/>
      <c r="E1062" s="116"/>
      <c r="F1062" s="116"/>
      <c r="G1062" s="116"/>
      <c r="H1062" s="116"/>
      <c r="I1062" s="116"/>
      <c r="J1062" s="116"/>
    </row>
    <row r="1063" spans="1:10" ht="13.5" customHeight="1">
      <c r="A1063" s="2"/>
      <c r="B1063" s="116"/>
      <c r="C1063" s="116"/>
      <c r="D1063" s="116"/>
      <c r="E1063" s="116"/>
      <c r="F1063" s="116"/>
      <c r="G1063" s="116"/>
      <c r="H1063" s="116"/>
      <c r="I1063" s="116"/>
      <c r="J1063" s="116"/>
    </row>
    <row r="1064" spans="1:10" ht="13.5" customHeight="1">
      <c r="A1064" s="2"/>
      <c r="B1064" s="116"/>
      <c r="C1064" s="116"/>
      <c r="D1064" s="116"/>
      <c r="E1064" s="116"/>
      <c r="F1064" s="116"/>
      <c r="G1064" s="116"/>
      <c r="H1064" s="116"/>
      <c r="I1064" s="116"/>
      <c r="J1064" s="116"/>
    </row>
    <row r="1065" spans="1:10" ht="13.5" customHeight="1">
      <c r="A1065" s="2"/>
      <c r="B1065" s="116"/>
      <c r="C1065" s="116"/>
      <c r="D1065" s="116"/>
      <c r="E1065" s="116"/>
      <c r="F1065" s="116"/>
      <c r="G1065" s="116"/>
      <c r="H1065" s="116"/>
      <c r="I1065" s="116"/>
      <c r="J1065" s="116"/>
    </row>
    <row r="1066" spans="1:10" ht="13.5" customHeight="1">
      <c r="A1066" s="2"/>
      <c r="B1066" s="116"/>
      <c r="C1066" s="116"/>
      <c r="D1066" s="116"/>
      <c r="E1066" s="116"/>
      <c r="F1066" s="116"/>
      <c r="G1066" s="116"/>
      <c r="H1066" s="116"/>
      <c r="I1066" s="116"/>
      <c r="J1066" s="116"/>
    </row>
    <row r="1067" spans="1:10" ht="13.5" customHeight="1">
      <c r="A1067" s="2"/>
      <c r="B1067" s="116"/>
      <c r="C1067" s="116"/>
      <c r="D1067" s="116"/>
      <c r="E1067" s="116"/>
      <c r="F1067" s="116"/>
      <c r="G1067" s="116"/>
      <c r="H1067" s="116"/>
      <c r="I1067" s="116"/>
      <c r="J1067" s="116"/>
    </row>
    <row r="1068" spans="1:10" ht="13.5" customHeight="1">
      <c r="A1068" s="2"/>
      <c r="B1068" s="116"/>
      <c r="C1068" s="116"/>
      <c r="D1068" s="116"/>
      <c r="E1068" s="116"/>
      <c r="F1068" s="116"/>
      <c r="G1068" s="116"/>
      <c r="H1068" s="116"/>
      <c r="I1068" s="116"/>
      <c r="J1068" s="116"/>
    </row>
    <row r="1069" spans="1:10" ht="13.5" customHeight="1">
      <c r="A1069" s="2"/>
      <c r="B1069" s="116"/>
      <c r="C1069" s="116"/>
      <c r="D1069" s="116"/>
      <c r="E1069" s="116"/>
      <c r="F1069" s="116"/>
      <c r="G1069" s="116"/>
      <c r="H1069" s="116"/>
      <c r="I1069" s="116"/>
      <c r="J1069" s="116"/>
    </row>
    <row r="1070" spans="1:10" ht="13.5" customHeight="1">
      <c r="A1070" s="2"/>
      <c r="B1070" s="116"/>
      <c r="C1070" s="116"/>
      <c r="D1070" s="116"/>
      <c r="E1070" s="116"/>
      <c r="F1070" s="116"/>
      <c r="G1070" s="116"/>
      <c r="H1070" s="116"/>
      <c r="I1070" s="116"/>
      <c r="J1070" s="116"/>
    </row>
    <row r="1071" spans="1:10" ht="13.5" customHeight="1">
      <c r="A1071" s="2"/>
      <c r="B1071" s="116"/>
      <c r="C1071" s="116"/>
      <c r="D1071" s="116"/>
      <c r="E1071" s="116"/>
      <c r="F1071" s="116"/>
      <c r="G1071" s="116"/>
      <c r="H1071" s="116"/>
      <c r="I1071" s="116"/>
      <c r="J1071" s="116"/>
    </row>
    <row r="1072" spans="1:10" ht="13.5" customHeight="1">
      <c r="A1072" s="2"/>
      <c r="B1072" s="116"/>
      <c r="C1072" s="116"/>
      <c r="D1072" s="116"/>
      <c r="E1072" s="116"/>
      <c r="F1072" s="116"/>
      <c r="G1072" s="116"/>
      <c r="H1072" s="116"/>
      <c r="I1072" s="116"/>
      <c r="J1072" s="116"/>
    </row>
    <row r="1073" spans="1:10" ht="13.5" customHeight="1">
      <c r="A1073" s="2"/>
      <c r="B1073" s="116"/>
      <c r="C1073" s="116"/>
      <c r="D1073" s="116"/>
      <c r="E1073" s="116"/>
      <c r="F1073" s="116"/>
      <c r="G1073" s="116"/>
      <c r="H1073" s="116"/>
      <c r="I1073" s="116"/>
      <c r="J1073" s="116"/>
    </row>
    <row r="1074" spans="1:10" ht="13.5" customHeight="1">
      <c r="A1074" s="2"/>
      <c r="B1074" s="116"/>
      <c r="C1074" s="116"/>
      <c r="D1074" s="116"/>
      <c r="E1074" s="116"/>
      <c r="F1074" s="116"/>
      <c r="G1074" s="116"/>
      <c r="H1074" s="116"/>
      <c r="I1074" s="116"/>
      <c r="J1074" s="116"/>
    </row>
    <row r="1075" spans="1:10" ht="13.5" customHeight="1">
      <c r="A1075" s="2"/>
      <c r="B1075" s="116"/>
      <c r="C1075" s="116"/>
      <c r="D1075" s="116"/>
      <c r="E1075" s="116"/>
      <c r="F1075" s="116"/>
      <c r="G1075" s="116"/>
      <c r="H1075" s="116"/>
      <c r="I1075" s="116"/>
      <c r="J1075" s="116"/>
    </row>
    <row r="1076" spans="1:10" ht="13.5" customHeight="1">
      <c r="A1076" s="2"/>
      <c r="B1076" s="116"/>
      <c r="C1076" s="116"/>
      <c r="D1076" s="116"/>
      <c r="E1076" s="116"/>
      <c r="F1076" s="116"/>
      <c r="G1076" s="116"/>
      <c r="H1076" s="116"/>
      <c r="I1076" s="116"/>
      <c r="J1076" s="116"/>
    </row>
    <row r="1077" spans="1:10" ht="13.5" customHeight="1">
      <c r="A1077" s="2"/>
      <c r="B1077" s="116"/>
      <c r="C1077" s="116"/>
      <c r="D1077" s="116"/>
      <c r="E1077" s="116"/>
      <c r="F1077" s="116"/>
      <c r="G1077" s="116"/>
      <c r="H1077" s="116"/>
      <c r="I1077" s="116"/>
      <c r="J1077" s="116"/>
    </row>
    <row r="1078" spans="1:10" ht="13.5" customHeight="1">
      <c r="A1078" s="2"/>
      <c r="B1078" s="116"/>
      <c r="C1078" s="116"/>
      <c r="D1078" s="116"/>
      <c r="E1078" s="116"/>
      <c r="F1078" s="116"/>
      <c r="G1078" s="116"/>
      <c r="H1078" s="116"/>
      <c r="I1078" s="116"/>
      <c r="J1078" s="116"/>
    </row>
    <row r="1079" spans="1:10" ht="13.5" customHeight="1">
      <c r="A1079" s="2"/>
      <c r="B1079" s="116"/>
      <c r="C1079" s="116"/>
      <c r="D1079" s="116"/>
      <c r="E1079" s="116"/>
      <c r="F1079" s="116"/>
      <c r="G1079" s="116"/>
      <c r="H1079" s="116"/>
      <c r="I1079" s="116"/>
      <c r="J1079" s="116"/>
    </row>
    <row r="1080" spans="1:10" ht="13.5" customHeight="1">
      <c r="A1080" s="2"/>
      <c r="B1080" s="116"/>
      <c r="C1080" s="116"/>
      <c r="D1080" s="116"/>
      <c r="E1080" s="116"/>
      <c r="F1080" s="116"/>
      <c r="G1080" s="116"/>
      <c r="H1080" s="116"/>
      <c r="I1080" s="116"/>
      <c r="J1080" s="116"/>
    </row>
    <row r="1081" spans="1:10" ht="13.5" customHeight="1">
      <c r="A1081" s="2"/>
      <c r="B1081" s="116"/>
      <c r="C1081" s="116"/>
      <c r="D1081" s="116"/>
      <c r="E1081" s="116"/>
      <c r="F1081" s="116"/>
      <c r="G1081" s="116"/>
      <c r="H1081" s="116"/>
      <c r="I1081" s="116"/>
      <c r="J1081" s="116"/>
    </row>
    <row r="1082" spans="1:10" ht="13.5" customHeight="1">
      <c r="A1082" s="2"/>
      <c r="B1082" s="116"/>
      <c r="C1082" s="116"/>
      <c r="D1082" s="116"/>
      <c r="E1082" s="116"/>
      <c r="F1082" s="116"/>
      <c r="G1082" s="116"/>
      <c r="H1082" s="116"/>
      <c r="I1082" s="116"/>
      <c r="J1082" s="116"/>
    </row>
    <row r="1083" spans="1:10" ht="13.5" customHeight="1">
      <c r="A1083" s="2"/>
      <c r="B1083" s="116"/>
      <c r="C1083" s="116"/>
      <c r="D1083" s="116"/>
      <c r="E1083" s="116"/>
      <c r="F1083" s="116"/>
      <c r="G1083" s="116"/>
      <c r="H1083" s="116"/>
      <c r="I1083" s="116"/>
      <c r="J1083" s="116"/>
    </row>
    <row r="1084" spans="1:10" ht="13.5" customHeight="1">
      <c r="A1084" s="2"/>
      <c r="B1084" s="116"/>
      <c r="C1084" s="116"/>
      <c r="D1084" s="116"/>
      <c r="E1084" s="116"/>
      <c r="F1084" s="116"/>
      <c r="G1084" s="116"/>
      <c r="H1084" s="116"/>
      <c r="I1084" s="116"/>
      <c r="J1084" s="116"/>
    </row>
    <row r="1085" spans="1:10" ht="13.5" customHeight="1">
      <c r="A1085" s="2"/>
      <c r="B1085" s="116"/>
      <c r="C1085" s="116"/>
      <c r="D1085" s="116"/>
      <c r="E1085" s="116"/>
      <c r="F1085" s="116"/>
      <c r="G1085" s="116"/>
      <c r="H1085" s="116"/>
      <c r="I1085" s="116"/>
      <c r="J1085" s="116"/>
    </row>
    <row r="1086" spans="1:10" ht="13.5" customHeight="1">
      <c r="A1086" s="2"/>
      <c r="B1086" s="116"/>
      <c r="C1086" s="116"/>
      <c r="D1086" s="116"/>
      <c r="E1086" s="116"/>
      <c r="F1086" s="116"/>
      <c r="G1086" s="116"/>
      <c r="H1086" s="116"/>
      <c r="I1086" s="116"/>
      <c r="J1086" s="116"/>
    </row>
    <row r="1087" spans="1:10" ht="13.5" customHeight="1">
      <c r="A1087" s="2"/>
      <c r="B1087" s="116"/>
      <c r="C1087" s="116"/>
      <c r="D1087" s="116"/>
      <c r="E1087" s="116"/>
      <c r="F1087" s="116"/>
      <c r="G1087" s="116"/>
      <c r="H1087" s="116"/>
      <c r="I1087" s="116"/>
      <c r="J1087" s="116"/>
    </row>
    <row r="1088" spans="1:10" ht="13.5" customHeight="1">
      <c r="A1088" s="2"/>
      <c r="B1088" s="116"/>
      <c r="C1088" s="116"/>
      <c r="D1088" s="116"/>
      <c r="E1088" s="116"/>
      <c r="F1088" s="116"/>
      <c r="G1088" s="116"/>
      <c r="H1088" s="116"/>
      <c r="I1088" s="116"/>
      <c r="J1088" s="116"/>
    </row>
    <row r="1089" spans="1:10" ht="13.5" customHeight="1">
      <c r="A1089" s="2"/>
      <c r="B1089" s="116"/>
      <c r="C1089" s="116"/>
      <c r="D1089" s="116"/>
      <c r="E1089" s="116"/>
      <c r="F1089" s="116"/>
      <c r="G1089" s="116"/>
      <c r="H1089" s="116"/>
      <c r="I1089" s="116"/>
      <c r="J1089" s="116"/>
    </row>
    <row r="1090" spans="1:10" ht="13.5" customHeight="1">
      <c r="A1090" s="2"/>
      <c r="B1090" s="116"/>
      <c r="C1090" s="116"/>
      <c r="D1090" s="116"/>
      <c r="E1090" s="116"/>
      <c r="F1090" s="116"/>
      <c r="G1090" s="116"/>
      <c r="H1090" s="116"/>
      <c r="I1090" s="116"/>
      <c r="J1090" s="116"/>
    </row>
    <row r="1091" spans="1:10" ht="13.5" customHeight="1">
      <c r="A1091" s="2"/>
      <c r="B1091" s="116"/>
      <c r="C1091" s="116"/>
      <c r="D1091" s="116"/>
      <c r="E1091" s="116"/>
      <c r="F1091" s="116"/>
      <c r="G1091" s="116"/>
      <c r="H1091" s="116"/>
      <c r="I1091" s="116"/>
      <c r="J1091" s="116"/>
    </row>
    <row r="1092" spans="1:10" ht="13.5" customHeight="1">
      <c r="A1092" s="2"/>
      <c r="B1092" s="116"/>
      <c r="C1092" s="116"/>
      <c r="D1092" s="116"/>
      <c r="E1092" s="116"/>
      <c r="F1092" s="116"/>
      <c r="G1092" s="116"/>
      <c r="H1092" s="116"/>
      <c r="I1092" s="116"/>
      <c r="J1092" s="116"/>
    </row>
    <row r="1093" spans="1:10" ht="13.5" customHeight="1">
      <c r="A1093" s="2"/>
      <c r="B1093" s="116"/>
      <c r="C1093" s="116"/>
      <c r="D1093" s="116"/>
      <c r="E1093" s="116"/>
      <c r="F1093" s="116"/>
      <c r="G1093" s="116"/>
      <c r="H1093" s="116"/>
      <c r="I1093" s="116"/>
      <c r="J1093" s="116"/>
    </row>
    <row r="1094" spans="1:10" ht="13.5" customHeight="1">
      <c r="A1094" s="2"/>
      <c r="B1094" s="116"/>
      <c r="C1094" s="116"/>
      <c r="D1094" s="116"/>
      <c r="E1094" s="116"/>
      <c r="F1094" s="116"/>
      <c r="G1094" s="116"/>
      <c r="H1094" s="116"/>
      <c r="I1094" s="116"/>
      <c r="J1094" s="116"/>
    </row>
    <row r="1095" spans="1:10" ht="13.5" customHeight="1">
      <c r="A1095" s="2"/>
      <c r="B1095" s="116"/>
      <c r="C1095" s="116"/>
      <c r="D1095" s="116"/>
      <c r="E1095" s="116"/>
      <c r="F1095" s="116"/>
      <c r="G1095" s="116"/>
      <c r="H1095" s="116"/>
      <c r="I1095" s="116"/>
      <c r="J1095" s="116"/>
    </row>
    <row r="1096" spans="1:10" ht="13.5" customHeight="1">
      <c r="A1096" s="2"/>
      <c r="B1096" s="116"/>
      <c r="C1096" s="116"/>
      <c r="D1096" s="116"/>
      <c r="E1096" s="116"/>
      <c r="F1096" s="116"/>
      <c r="G1096" s="116"/>
      <c r="H1096" s="116"/>
      <c r="I1096" s="116"/>
      <c r="J1096" s="116"/>
    </row>
    <row r="1097" spans="1:10" ht="13.5" customHeight="1">
      <c r="A1097" s="2"/>
      <c r="B1097" s="116"/>
      <c r="C1097" s="116"/>
      <c r="D1097" s="116"/>
      <c r="E1097" s="116"/>
      <c r="F1097" s="116"/>
      <c r="G1097" s="116"/>
      <c r="H1097" s="116"/>
      <c r="I1097" s="116"/>
      <c r="J1097" s="116"/>
    </row>
    <row r="1098" spans="1:10" ht="13.5" customHeight="1">
      <c r="A1098" s="2"/>
      <c r="B1098" s="116"/>
      <c r="C1098" s="116"/>
      <c r="D1098" s="116"/>
      <c r="E1098" s="116"/>
      <c r="F1098" s="116"/>
      <c r="G1098" s="116"/>
      <c r="H1098" s="116"/>
      <c r="I1098" s="116"/>
      <c r="J1098" s="116"/>
    </row>
    <row r="1099" spans="1:10" ht="13.5" customHeight="1">
      <c r="A1099" s="2"/>
      <c r="B1099" s="116"/>
      <c r="C1099" s="116"/>
      <c r="D1099" s="116"/>
      <c r="E1099" s="116"/>
      <c r="F1099" s="116"/>
      <c r="G1099" s="116"/>
      <c r="H1099" s="116"/>
      <c r="I1099" s="116"/>
      <c r="J1099" s="116"/>
    </row>
    <row r="1100" spans="1:10" ht="13.5" customHeight="1">
      <c r="A1100" s="2"/>
      <c r="B1100" s="116"/>
      <c r="C1100" s="116"/>
      <c r="D1100" s="116"/>
      <c r="E1100" s="116"/>
      <c r="F1100" s="116"/>
      <c r="G1100" s="116"/>
      <c r="H1100" s="116"/>
      <c r="I1100" s="116"/>
      <c r="J1100" s="116"/>
    </row>
    <row r="1101" spans="1:10" ht="13.5" customHeight="1">
      <c r="A1101" s="2"/>
      <c r="B1101" s="116"/>
      <c r="C1101" s="116"/>
      <c r="D1101" s="116"/>
      <c r="E1101" s="116"/>
      <c r="F1101" s="116"/>
      <c r="G1101" s="116"/>
      <c r="H1101" s="116"/>
      <c r="I1101" s="116"/>
      <c r="J1101" s="116"/>
    </row>
    <row r="1102" spans="1:10" ht="13.5" customHeight="1">
      <c r="A1102" s="2"/>
      <c r="B1102" s="116"/>
      <c r="C1102" s="116"/>
      <c r="D1102" s="116"/>
      <c r="E1102" s="116"/>
      <c r="F1102" s="116"/>
      <c r="G1102" s="116"/>
      <c r="H1102" s="116"/>
      <c r="I1102" s="116"/>
      <c r="J1102" s="116"/>
    </row>
    <row r="1103" spans="1:10" ht="13.5" customHeight="1">
      <c r="A1103" s="2"/>
      <c r="B1103" s="116"/>
      <c r="C1103" s="116"/>
      <c r="D1103" s="116"/>
      <c r="E1103" s="116"/>
      <c r="F1103" s="116"/>
      <c r="G1103" s="116"/>
      <c r="H1103" s="116"/>
      <c r="I1103" s="116"/>
      <c r="J1103" s="116"/>
    </row>
    <row r="1104" spans="1:10" ht="13.5" customHeight="1">
      <c r="A1104" s="2"/>
      <c r="B1104" s="116"/>
      <c r="C1104" s="116"/>
      <c r="D1104" s="116"/>
      <c r="E1104" s="116"/>
      <c r="F1104" s="116"/>
      <c r="G1104" s="116"/>
      <c r="H1104" s="116"/>
      <c r="I1104" s="116"/>
      <c r="J1104" s="116"/>
    </row>
    <row r="1105" spans="1:10" ht="13.5" customHeight="1">
      <c r="A1105" s="2"/>
      <c r="B1105" s="116"/>
      <c r="C1105" s="116"/>
      <c r="D1105" s="116"/>
      <c r="E1105" s="116"/>
      <c r="F1105" s="116"/>
      <c r="G1105" s="116"/>
      <c r="H1105" s="116"/>
      <c r="I1105" s="116"/>
      <c r="J1105" s="116"/>
    </row>
    <row r="1106" spans="1:10" ht="13.5" customHeight="1">
      <c r="A1106" s="2"/>
      <c r="B1106" s="116"/>
      <c r="C1106" s="116"/>
      <c r="D1106" s="116"/>
      <c r="E1106" s="116"/>
      <c r="F1106" s="116"/>
      <c r="G1106" s="116"/>
      <c r="H1106" s="116"/>
      <c r="I1106" s="116"/>
      <c r="J1106" s="116"/>
    </row>
    <row r="1107" spans="1:10" ht="13.5" customHeight="1">
      <c r="A1107" s="2"/>
      <c r="B1107" s="116"/>
      <c r="C1107" s="116"/>
      <c r="D1107" s="116"/>
      <c r="E1107" s="116"/>
      <c r="F1107" s="116"/>
      <c r="G1107" s="116"/>
      <c r="H1107" s="116"/>
      <c r="I1107" s="116"/>
      <c r="J1107" s="116"/>
    </row>
    <row r="1108" spans="1:10" ht="13.5" customHeight="1">
      <c r="A1108" s="2"/>
      <c r="B1108" s="116"/>
      <c r="C1108" s="116"/>
      <c r="D1108" s="116"/>
      <c r="E1108" s="116"/>
      <c r="F1108" s="116"/>
      <c r="G1108" s="116"/>
      <c r="H1108" s="116"/>
      <c r="I1108" s="116"/>
      <c r="J1108" s="116"/>
    </row>
    <row r="1109" spans="1:10" ht="13.5" customHeight="1">
      <c r="A1109" s="2"/>
      <c r="B1109" s="116"/>
      <c r="C1109" s="116"/>
      <c r="D1109" s="116"/>
      <c r="E1109" s="116"/>
      <c r="F1109" s="116"/>
      <c r="G1109" s="116"/>
      <c r="H1109" s="116"/>
      <c r="I1109" s="116"/>
      <c r="J1109" s="116"/>
    </row>
    <row r="1110" spans="1:10" ht="13.5" customHeight="1">
      <c r="A1110" s="2"/>
      <c r="B1110" s="116"/>
      <c r="C1110" s="116"/>
      <c r="D1110" s="116"/>
      <c r="E1110" s="116"/>
      <c r="F1110" s="116"/>
      <c r="G1110" s="116"/>
      <c r="H1110" s="116"/>
      <c r="I1110" s="116"/>
      <c r="J1110" s="116"/>
    </row>
    <row r="1111" spans="1:10" ht="13.5" customHeight="1">
      <c r="A1111" s="2"/>
      <c r="B1111" s="116"/>
      <c r="C1111" s="116"/>
      <c r="D1111" s="116"/>
      <c r="E1111" s="116"/>
      <c r="F1111" s="116"/>
      <c r="G1111" s="116"/>
      <c r="H1111" s="116"/>
      <c r="I1111" s="116"/>
      <c r="J1111" s="116"/>
    </row>
    <row r="1112" spans="1:10" ht="13.5" customHeight="1">
      <c r="A1112" s="2"/>
      <c r="B1112" s="116"/>
      <c r="C1112" s="116"/>
      <c r="D1112" s="116"/>
      <c r="E1112" s="116"/>
      <c r="F1112" s="116"/>
      <c r="G1112" s="116"/>
      <c r="H1112" s="116"/>
      <c r="I1112" s="116"/>
      <c r="J1112" s="116"/>
    </row>
    <row r="1113" spans="1:10" ht="13.5" customHeight="1">
      <c r="A1113" s="2"/>
      <c r="B1113" s="116"/>
      <c r="C1113" s="116"/>
      <c r="D1113" s="116"/>
      <c r="E1113" s="116"/>
      <c r="F1113" s="116"/>
      <c r="G1113" s="116"/>
      <c r="H1113" s="116"/>
      <c r="I1113" s="116"/>
      <c r="J1113" s="116"/>
    </row>
    <row r="1114" spans="1:10" ht="13.5" customHeight="1">
      <c r="A1114" s="2"/>
      <c r="B1114" s="116"/>
      <c r="C1114" s="116"/>
      <c r="D1114" s="116"/>
      <c r="E1114" s="116"/>
      <c r="F1114" s="116"/>
      <c r="G1114" s="116"/>
      <c r="H1114" s="116"/>
      <c r="I1114" s="116"/>
      <c r="J1114" s="116"/>
    </row>
    <row r="1115" spans="1:10" ht="13.5" customHeight="1">
      <c r="A1115" s="2"/>
      <c r="B1115" s="116"/>
      <c r="C1115" s="116"/>
      <c r="D1115" s="116"/>
      <c r="E1115" s="116"/>
      <c r="F1115" s="116"/>
      <c r="G1115" s="116"/>
      <c r="H1115" s="116"/>
      <c r="I1115" s="116"/>
      <c r="J1115" s="116"/>
    </row>
    <row r="1116" spans="1:10" ht="13.5" customHeight="1">
      <c r="A1116" s="2"/>
      <c r="B1116" s="116"/>
      <c r="C1116" s="116"/>
      <c r="D1116" s="116"/>
      <c r="E1116" s="116"/>
      <c r="F1116" s="116"/>
      <c r="G1116" s="116"/>
      <c r="H1116" s="116"/>
      <c r="I1116" s="116"/>
      <c r="J1116" s="116"/>
    </row>
    <row r="1117" spans="1:10" ht="13.5" customHeight="1">
      <c r="A1117" s="2"/>
      <c r="B1117" s="116"/>
      <c r="C1117" s="116"/>
      <c r="D1117" s="116"/>
      <c r="E1117" s="116"/>
      <c r="F1117" s="116"/>
      <c r="G1117" s="116"/>
      <c r="H1117" s="116"/>
      <c r="I1117" s="116"/>
      <c r="J1117" s="116"/>
    </row>
    <row r="1118" spans="1:10" ht="13.5" customHeight="1">
      <c r="A1118" s="2"/>
      <c r="B1118" s="116"/>
      <c r="C1118" s="116"/>
      <c r="D1118" s="116"/>
      <c r="E1118" s="116"/>
      <c r="F1118" s="116"/>
      <c r="G1118" s="116"/>
      <c r="H1118" s="116"/>
      <c r="I1118" s="116"/>
      <c r="J1118" s="116"/>
    </row>
    <row r="1119" spans="1:10" ht="13.5" customHeight="1">
      <c r="A1119" s="2"/>
      <c r="B1119" s="116"/>
      <c r="C1119" s="116"/>
      <c r="D1119" s="116"/>
      <c r="E1119" s="116"/>
      <c r="F1119" s="116"/>
      <c r="G1119" s="116"/>
      <c r="H1119" s="116"/>
      <c r="I1119" s="116"/>
      <c r="J1119" s="116"/>
    </row>
    <row r="1120" spans="1:10" ht="13.5" customHeight="1">
      <c r="A1120" s="2"/>
      <c r="B1120" s="116"/>
      <c r="C1120" s="116"/>
      <c r="D1120" s="116"/>
      <c r="E1120" s="116"/>
      <c r="F1120" s="116"/>
      <c r="G1120" s="116"/>
      <c r="H1120" s="116"/>
      <c r="I1120" s="116"/>
      <c r="J1120" s="116"/>
    </row>
    <row r="1121" spans="1:10" ht="13.5" customHeight="1">
      <c r="A1121" s="2"/>
      <c r="B1121" s="116"/>
      <c r="C1121" s="116"/>
      <c r="D1121" s="116"/>
      <c r="E1121" s="116"/>
      <c r="F1121" s="116"/>
      <c r="G1121" s="116"/>
      <c r="H1121" s="116"/>
      <c r="I1121" s="116"/>
      <c r="J1121" s="116"/>
    </row>
    <row r="1122" spans="1:10" ht="13.5" customHeight="1">
      <c r="A1122" s="2"/>
      <c r="B1122" s="116"/>
      <c r="C1122" s="116"/>
      <c r="D1122" s="116"/>
      <c r="E1122" s="116"/>
      <c r="F1122" s="116"/>
      <c r="G1122" s="116"/>
      <c r="H1122" s="116"/>
      <c r="I1122" s="116"/>
      <c r="J1122" s="116"/>
    </row>
    <row r="1123" spans="1:10" ht="13.5" customHeight="1">
      <c r="A1123" s="2"/>
      <c r="B1123" s="116"/>
      <c r="C1123" s="116"/>
      <c r="D1123" s="116"/>
      <c r="E1123" s="116"/>
      <c r="F1123" s="116"/>
      <c r="G1123" s="116"/>
      <c r="H1123" s="116"/>
      <c r="I1123" s="116"/>
      <c r="J1123" s="116"/>
    </row>
    <row r="1124" spans="1:10" ht="13.5" customHeight="1">
      <c r="A1124" s="2"/>
      <c r="B1124" s="116"/>
      <c r="C1124" s="116"/>
      <c r="D1124" s="116"/>
      <c r="E1124" s="116"/>
      <c r="F1124" s="116"/>
      <c r="G1124" s="116"/>
      <c r="H1124" s="116"/>
      <c r="I1124" s="116"/>
      <c r="J1124" s="116"/>
    </row>
    <row r="1125" spans="1:10" ht="13.5" customHeight="1">
      <c r="A1125" s="2"/>
      <c r="B1125" s="116"/>
      <c r="C1125" s="116"/>
      <c r="D1125" s="116"/>
      <c r="E1125" s="116"/>
      <c r="F1125" s="116"/>
      <c r="G1125" s="116"/>
      <c r="H1125" s="116"/>
      <c r="I1125" s="116"/>
      <c r="J1125" s="116"/>
    </row>
    <row r="1126" spans="1:10" ht="13.5" customHeight="1">
      <c r="A1126" s="2"/>
      <c r="B1126" s="116"/>
      <c r="C1126" s="116"/>
      <c r="D1126" s="116"/>
      <c r="E1126" s="116"/>
      <c r="F1126" s="116"/>
      <c r="G1126" s="116"/>
      <c r="H1126" s="116"/>
      <c r="I1126" s="116"/>
      <c r="J1126" s="116"/>
    </row>
    <row r="1127" spans="1:10" ht="13.5" customHeight="1">
      <c r="A1127" s="2"/>
      <c r="B1127" s="116"/>
      <c r="C1127" s="116"/>
      <c r="D1127" s="116"/>
      <c r="E1127" s="116"/>
      <c r="F1127" s="116"/>
      <c r="G1127" s="116"/>
      <c r="H1127" s="116"/>
      <c r="I1127" s="116"/>
      <c r="J1127" s="116"/>
    </row>
    <row r="1128" spans="1:10" ht="13.5" customHeight="1">
      <c r="A1128" s="2"/>
      <c r="B1128" s="116"/>
      <c r="C1128" s="116"/>
      <c r="D1128" s="116"/>
      <c r="E1128" s="116"/>
      <c r="F1128" s="116"/>
      <c r="G1128" s="116"/>
      <c r="H1128" s="116"/>
      <c r="I1128" s="116"/>
      <c r="J1128" s="116"/>
    </row>
    <row r="1129" spans="1:10" ht="13.5" customHeight="1">
      <c r="A1129" s="2"/>
      <c r="B1129" s="116"/>
      <c r="C1129" s="116"/>
      <c r="D1129" s="116"/>
      <c r="E1129" s="116"/>
      <c r="F1129" s="116"/>
      <c r="G1129" s="116"/>
      <c r="H1129" s="116"/>
      <c r="I1129" s="116"/>
      <c r="J1129" s="116"/>
    </row>
    <row r="1130" spans="1:10" ht="13.5" customHeight="1">
      <c r="A1130" s="2"/>
      <c r="B1130" s="116"/>
      <c r="C1130" s="116"/>
      <c r="D1130" s="116"/>
      <c r="E1130" s="116"/>
      <c r="F1130" s="116"/>
      <c r="G1130" s="116"/>
      <c r="H1130" s="116"/>
      <c r="I1130" s="116"/>
      <c r="J1130" s="116"/>
    </row>
    <row r="1131" spans="1:10" ht="13.5" customHeight="1">
      <c r="A1131" s="2"/>
      <c r="B1131" s="116"/>
      <c r="C1131" s="116"/>
      <c r="D1131" s="116"/>
      <c r="E1131" s="116"/>
      <c r="F1131" s="116"/>
      <c r="G1131" s="116"/>
      <c r="H1131" s="116"/>
      <c r="I1131" s="116"/>
      <c r="J1131" s="116"/>
    </row>
    <row r="1132" spans="1:10" ht="13.5" customHeight="1">
      <c r="A1132" s="2"/>
      <c r="B1132" s="116"/>
      <c r="C1132" s="116"/>
      <c r="D1132" s="116"/>
      <c r="E1132" s="116"/>
      <c r="F1132" s="116"/>
      <c r="G1132" s="116"/>
      <c r="H1132" s="116"/>
      <c r="I1132" s="116"/>
      <c r="J1132" s="116"/>
    </row>
    <row r="1133" spans="1:10" ht="13.5" customHeight="1">
      <c r="A1133" s="2"/>
      <c r="B1133" s="116"/>
      <c r="C1133" s="116"/>
      <c r="D1133" s="116"/>
      <c r="E1133" s="116"/>
      <c r="F1133" s="116"/>
      <c r="G1133" s="116"/>
      <c r="H1133" s="116"/>
      <c r="I1133" s="116"/>
      <c r="J1133" s="116"/>
    </row>
    <row r="1134" spans="1:10" ht="13.5" customHeight="1">
      <c r="A1134" s="2"/>
      <c r="B1134" s="116"/>
      <c r="C1134" s="116"/>
      <c r="D1134" s="116"/>
      <c r="E1134" s="116"/>
      <c r="F1134" s="116"/>
      <c r="G1134" s="116"/>
      <c r="H1134" s="116"/>
      <c r="I1134" s="116"/>
      <c r="J1134" s="116"/>
    </row>
    <row r="1135" spans="1:10" ht="13.5" customHeight="1">
      <c r="A1135" s="2"/>
      <c r="B1135" s="116"/>
      <c r="C1135" s="116"/>
      <c r="D1135" s="116"/>
      <c r="E1135" s="116"/>
      <c r="F1135" s="116"/>
      <c r="G1135" s="116"/>
      <c r="H1135" s="116"/>
      <c r="I1135" s="116"/>
      <c r="J1135" s="116"/>
    </row>
    <row r="1136" spans="1:10" ht="13.5" customHeight="1">
      <c r="A1136" s="2"/>
      <c r="B1136" s="116"/>
      <c r="C1136" s="116"/>
      <c r="D1136" s="116"/>
      <c r="E1136" s="116"/>
      <c r="F1136" s="116"/>
      <c r="G1136" s="116"/>
      <c r="H1136" s="116"/>
      <c r="I1136" s="116"/>
      <c r="J1136" s="116"/>
    </row>
    <row r="1137" spans="1:10" ht="13.5" customHeight="1">
      <c r="A1137" s="2"/>
      <c r="B1137" s="116"/>
      <c r="C1137" s="116"/>
      <c r="D1137" s="116"/>
      <c r="E1137" s="116"/>
      <c r="F1137" s="116"/>
      <c r="G1137" s="116"/>
      <c r="H1137" s="116"/>
      <c r="I1137" s="116"/>
      <c r="J1137" s="116"/>
    </row>
    <row r="1138" spans="1:10" ht="13.5" customHeight="1">
      <c r="A1138" s="2"/>
      <c r="B1138" s="116"/>
      <c r="C1138" s="116"/>
      <c r="D1138" s="116"/>
      <c r="E1138" s="116"/>
      <c r="F1138" s="116"/>
      <c r="G1138" s="116"/>
      <c r="H1138" s="116"/>
      <c r="I1138" s="116"/>
      <c r="J1138" s="116"/>
    </row>
    <row r="1139" spans="1:10" ht="13.5" customHeight="1">
      <c r="A1139" s="2"/>
      <c r="B1139" s="116"/>
      <c r="C1139" s="116"/>
      <c r="D1139" s="116"/>
      <c r="E1139" s="116"/>
      <c r="F1139" s="116"/>
      <c r="G1139" s="116"/>
      <c r="H1139" s="116"/>
      <c r="I1139" s="116"/>
      <c r="J1139" s="116"/>
    </row>
    <row r="1140" spans="1:10" ht="13.5" customHeight="1">
      <c r="A1140" s="2"/>
      <c r="B1140" s="116"/>
      <c r="C1140" s="116"/>
      <c r="D1140" s="116"/>
      <c r="E1140" s="116"/>
      <c r="F1140" s="116"/>
      <c r="G1140" s="116"/>
      <c r="H1140" s="116"/>
      <c r="I1140" s="116"/>
      <c r="J1140" s="116"/>
    </row>
    <row r="1141" spans="1:10" ht="13.5" customHeight="1">
      <c r="A1141" s="2"/>
      <c r="B1141" s="116"/>
      <c r="C1141" s="116"/>
      <c r="D1141" s="116"/>
      <c r="E1141" s="116"/>
      <c r="F1141" s="116"/>
      <c r="G1141" s="116"/>
      <c r="H1141" s="116"/>
      <c r="I1141" s="116"/>
      <c r="J1141" s="116"/>
    </row>
    <row r="1142" spans="1:10" ht="13.5" customHeight="1">
      <c r="A1142" s="2"/>
      <c r="B1142" s="116"/>
      <c r="C1142" s="116"/>
      <c r="D1142" s="116"/>
      <c r="E1142" s="116"/>
      <c r="F1142" s="116"/>
      <c r="G1142" s="116"/>
      <c r="H1142" s="116"/>
      <c r="I1142" s="116"/>
      <c r="J1142" s="116"/>
    </row>
    <row r="1143" spans="1:10" ht="13.5" customHeight="1">
      <c r="A1143" s="2"/>
      <c r="B1143" s="116"/>
      <c r="C1143" s="116"/>
      <c r="D1143" s="116"/>
      <c r="E1143" s="116"/>
      <c r="F1143" s="116"/>
      <c r="G1143" s="116"/>
      <c r="H1143" s="116"/>
      <c r="I1143" s="116"/>
      <c r="J1143" s="116"/>
    </row>
    <row r="1144" spans="1:10" ht="13.5" customHeight="1">
      <c r="A1144" s="2"/>
      <c r="B1144" s="116"/>
      <c r="C1144" s="116"/>
      <c r="D1144" s="116"/>
      <c r="E1144" s="116"/>
      <c r="F1144" s="116"/>
      <c r="G1144" s="116"/>
      <c r="H1144" s="116"/>
      <c r="I1144" s="116"/>
      <c r="J1144" s="116"/>
    </row>
    <row r="1145" spans="1:10" ht="13.5" customHeight="1">
      <c r="A1145" s="2"/>
      <c r="B1145" s="116"/>
      <c r="C1145" s="116"/>
      <c r="D1145" s="116"/>
      <c r="E1145" s="116"/>
      <c r="F1145" s="116"/>
      <c r="G1145" s="116"/>
      <c r="H1145" s="116"/>
      <c r="I1145" s="116"/>
      <c r="J1145" s="116"/>
    </row>
    <row r="1146" spans="1:10" ht="13.5" customHeight="1">
      <c r="A1146" s="2"/>
      <c r="B1146" s="116"/>
      <c r="C1146" s="116"/>
      <c r="D1146" s="116"/>
      <c r="E1146" s="116"/>
      <c r="F1146" s="116"/>
      <c r="G1146" s="116"/>
      <c r="H1146" s="116"/>
      <c r="I1146" s="116"/>
      <c r="J1146" s="116"/>
    </row>
    <row r="1147" spans="1:10" ht="13.5" customHeight="1">
      <c r="A1147" s="2"/>
      <c r="B1147" s="116"/>
      <c r="C1147" s="116"/>
      <c r="D1147" s="116"/>
      <c r="E1147" s="116"/>
      <c r="F1147" s="116"/>
      <c r="G1147" s="116"/>
      <c r="H1147" s="116"/>
      <c r="I1147" s="116"/>
      <c r="J1147" s="116"/>
    </row>
    <row r="1148" spans="1:10" ht="13.5" customHeight="1">
      <c r="A1148" s="2"/>
      <c r="B1148" s="116"/>
      <c r="C1148" s="116"/>
      <c r="D1148" s="116"/>
      <c r="E1148" s="116"/>
      <c r="F1148" s="116"/>
      <c r="G1148" s="116"/>
      <c r="H1148" s="116"/>
      <c r="I1148" s="116"/>
      <c r="J1148" s="116"/>
    </row>
    <row r="1149" spans="1:10" ht="13.5" customHeight="1">
      <c r="A1149" s="2"/>
      <c r="B1149" s="116"/>
      <c r="C1149" s="116"/>
      <c r="D1149" s="116"/>
      <c r="E1149" s="116"/>
      <c r="F1149" s="116"/>
      <c r="G1149" s="116"/>
      <c r="H1149" s="116"/>
      <c r="I1149" s="116"/>
      <c r="J1149" s="116"/>
    </row>
    <row r="1150" spans="1:10" ht="13.5" customHeight="1">
      <c r="A1150" s="2"/>
      <c r="B1150" s="116"/>
      <c r="C1150" s="116"/>
      <c r="D1150" s="116"/>
      <c r="E1150" s="116"/>
      <c r="F1150" s="116"/>
      <c r="G1150" s="116"/>
      <c r="H1150" s="116"/>
      <c r="I1150" s="116"/>
      <c r="J1150" s="116"/>
    </row>
    <row r="1151" spans="1:10" ht="13.5" customHeight="1">
      <c r="A1151" s="2"/>
      <c r="B1151" s="116"/>
      <c r="C1151" s="116"/>
      <c r="D1151" s="116"/>
      <c r="E1151" s="116"/>
      <c r="F1151" s="116"/>
      <c r="G1151" s="116"/>
      <c r="H1151" s="116"/>
      <c r="I1151" s="116"/>
      <c r="J1151" s="116"/>
    </row>
    <row r="1152" spans="1:10" ht="13.5" customHeight="1">
      <c r="A1152" s="2"/>
      <c r="B1152" s="116"/>
      <c r="C1152" s="116"/>
      <c r="D1152" s="116"/>
      <c r="E1152" s="116"/>
      <c r="F1152" s="116"/>
      <c r="G1152" s="116"/>
      <c r="H1152" s="116"/>
      <c r="I1152" s="116"/>
      <c r="J1152" s="116"/>
    </row>
    <row r="1153" spans="1:10" ht="13.5" customHeight="1">
      <c r="A1153" s="2"/>
      <c r="B1153" s="116"/>
      <c r="C1153" s="116"/>
      <c r="D1153" s="116"/>
      <c r="E1153" s="116"/>
      <c r="F1153" s="116"/>
      <c r="G1153" s="116"/>
      <c r="H1153" s="116"/>
      <c r="I1153" s="116"/>
      <c r="J1153" s="116"/>
    </row>
    <row r="1154" spans="1:10" ht="13.5" customHeight="1">
      <c r="A1154" s="2"/>
      <c r="B1154" s="116"/>
      <c r="C1154" s="116"/>
      <c r="D1154" s="116"/>
      <c r="E1154" s="116"/>
      <c r="F1154" s="116"/>
      <c r="G1154" s="116"/>
      <c r="H1154" s="116"/>
      <c r="I1154" s="116"/>
      <c r="J1154" s="116"/>
    </row>
    <row r="1155" spans="1:10" ht="13.5" customHeight="1">
      <c r="A1155" s="2"/>
      <c r="B1155" s="116"/>
      <c r="C1155" s="116"/>
      <c r="D1155" s="116"/>
      <c r="E1155" s="116"/>
      <c r="F1155" s="116"/>
      <c r="G1155" s="116"/>
      <c r="H1155" s="116"/>
      <c r="I1155" s="116"/>
      <c r="J1155" s="116"/>
    </row>
    <row r="1156" spans="1:10" ht="13.5" customHeight="1">
      <c r="A1156" s="2"/>
      <c r="B1156" s="116"/>
      <c r="C1156" s="116"/>
      <c r="D1156" s="116"/>
      <c r="E1156" s="116"/>
      <c r="F1156" s="116"/>
      <c r="G1156" s="116"/>
      <c r="H1156" s="116"/>
      <c r="I1156" s="116"/>
      <c r="J1156" s="116"/>
    </row>
    <row r="1157" spans="1:10" ht="13.5" customHeight="1">
      <c r="A1157" s="2"/>
      <c r="B1157" s="116"/>
      <c r="C1157" s="116"/>
      <c r="D1157" s="116"/>
      <c r="E1157" s="116"/>
      <c r="F1157" s="116"/>
      <c r="G1157" s="116"/>
      <c r="H1157" s="116"/>
      <c r="I1157" s="116"/>
      <c r="J1157" s="116"/>
    </row>
    <row r="1158" spans="1:10" ht="13.5" customHeight="1">
      <c r="A1158" s="2"/>
      <c r="B1158" s="116"/>
      <c r="C1158" s="116"/>
      <c r="D1158" s="116"/>
      <c r="E1158" s="116"/>
      <c r="F1158" s="116"/>
      <c r="G1158" s="116"/>
      <c r="H1158" s="116"/>
      <c r="I1158" s="116"/>
      <c r="J1158" s="116"/>
    </row>
    <row r="1159" spans="1:10" ht="13.5" customHeight="1">
      <c r="A1159" s="2"/>
      <c r="B1159" s="116"/>
      <c r="C1159" s="116"/>
      <c r="D1159" s="116"/>
      <c r="E1159" s="116"/>
      <c r="F1159" s="116"/>
      <c r="G1159" s="116"/>
      <c r="H1159" s="116"/>
      <c r="I1159" s="116"/>
      <c r="J1159" s="116"/>
    </row>
    <row r="1160" spans="1:10" ht="13.5" customHeight="1">
      <c r="A1160" s="2"/>
      <c r="B1160" s="116"/>
      <c r="C1160" s="116"/>
      <c r="D1160" s="116"/>
      <c r="E1160" s="116"/>
      <c r="F1160" s="116"/>
      <c r="G1160" s="116"/>
      <c r="H1160" s="116"/>
      <c r="I1160" s="116"/>
      <c r="J1160" s="116"/>
    </row>
    <row r="1161" spans="1:10" ht="13.5" customHeight="1">
      <c r="A1161" s="2"/>
      <c r="B1161" s="116"/>
      <c r="C1161" s="116"/>
      <c r="D1161" s="116"/>
      <c r="E1161" s="116"/>
      <c r="F1161" s="116"/>
      <c r="G1161" s="116"/>
      <c r="H1161" s="116"/>
      <c r="I1161" s="116"/>
      <c r="J1161" s="116"/>
    </row>
    <row r="1162" spans="1:10" ht="13.5" customHeight="1">
      <c r="A1162" s="2"/>
      <c r="B1162" s="116"/>
      <c r="C1162" s="116"/>
      <c r="D1162" s="116"/>
      <c r="E1162" s="116"/>
      <c r="F1162" s="116"/>
      <c r="G1162" s="116"/>
      <c r="H1162" s="116"/>
      <c r="I1162" s="116"/>
      <c r="J1162" s="116"/>
    </row>
    <row r="1163" spans="1:10" ht="13.5" customHeight="1">
      <c r="A1163" s="2"/>
      <c r="B1163" s="116"/>
      <c r="C1163" s="116"/>
      <c r="D1163" s="116"/>
      <c r="E1163" s="116"/>
      <c r="F1163" s="116"/>
      <c r="G1163" s="116"/>
      <c r="H1163" s="116"/>
      <c r="I1163" s="116"/>
      <c r="J1163" s="116"/>
    </row>
    <row r="1164" spans="1:10" ht="13.5" customHeight="1">
      <c r="A1164" s="2"/>
      <c r="B1164" s="116"/>
      <c r="C1164" s="116"/>
      <c r="D1164" s="116"/>
      <c r="E1164" s="116"/>
      <c r="F1164" s="116"/>
      <c r="G1164" s="116"/>
      <c r="H1164" s="116"/>
      <c r="I1164" s="116"/>
      <c r="J1164" s="116"/>
    </row>
    <row r="1165" spans="1:10" ht="13.5" customHeight="1">
      <c r="A1165" s="2"/>
      <c r="B1165" s="116"/>
      <c r="C1165" s="116"/>
      <c r="D1165" s="116"/>
      <c r="E1165" s="116"/>
      <c r="F1165" s="116"/>
      <c r="G1165" s="116"/>
      <c r="H1165" s="116"/>
      <c r="I1165" s="116"/>
      <c r="J1165" s="116"/>
    </row>
    <row r="1166" spans="1:10" ht="13.5" customHeight="1">
      <c r="A1166" s="2"/>
      <c r="B1166" s="116"/>
      <c r="C1166" s="116"/>
      <c r="D1166" s="116"/>
      <c r="E1166" s="116"/>
      <c r="F1166" s="116"/>
      <c r="G1166" s="116"/>
      <c r="H1166" s="116"/>
      <c r="I1166" s="116"/>
      <c r="J1166" s="116"/>
    </row>
    <row r="1167" spans="1:10" ht="13.5" customHeight="1">
      <c r="A1167" s="2"/>
      <c r="B1167" s="116"/>
      <c r="C1167" s="116"/>
      <c r="D1167" s="116"/>
      <c r="E1167" s="116"/>
      <c r="F1167" s="116"/>
      <c r="G1167" s="116"/>
      <c r="H1167" s="116"/>
      <c r="I1167" s="116"/>
      <c r="J1167" s="116"/>
    </row>
    <row r="1168" spans="1:10" ht="13.5" customHeight="1">
      <c r="A1168" s="2"/>
      <c r="B1168" s="116"/>
      <c r="C1168" s="116"/>
      <c r="D1168" s="116"/>
      <c r="E1168" s="116"/>
      <c r="F1168" s="116"/>
      <c r="G1168" s="116"/>
      <c r="H1168" s="116"/>
      <c r="I1168" s="116"/>
      <c r="J1168" s="116"/>
    </row>
    <row r="1169" spans="1:10" ht="13.5" customHeight="1">
      <c r="A1169" s="2"/>
      <c r="B1169" s="116"/>
      <c r="C1169" s="116"/>
      <c r="D1169" s="116"/>
      <c r="E1169" s="116"/>
      <c r="F1169" s="116"/>
      <c r="G1169" s="116"/>
      <c r="H1169" s="116"/>
      <c r="I1169" s="116"/>
      <c r="J1169" s="116"/>
    </row>
    <row r="1170" spans="1:10" ht="13.5" customHeight="1">
      <c r="A1170" s="2"/>
      <c r="B1170" s="116"/>
      <c r="C1170" s="116"/>
      <c r="D1170" s="116"/>
      <c r="E1170" s="116"/>
      <c r="F1170" s="116"/>
      <c r="G1170" s="116"/>
      <c r="H1170" s="116"/>
      <c r="I1170" s="116"/>
      <c r="J1170" s="116"/>
    </row>
    <row r="1171" spans="1:10" ht="13.5" customHeight="1">
      <c r="A1171" s="2"/>
      <c r="B1171" s="116"/>
      <c r="C1171" s="116"/>
      <c r="D1171" s="116"/>
      <c r="E1171" s="116"/>
      <c r="F1171" s="116"/>
      <c r="G1171" s="116"/>
      <c r="H1171" s="116"/>
      <c r="I1171" s="116"/>
      <c r="J1171" s="116"/>
    </row>
    <row r="1172" spans="1:10" ht="13.5" customHeight="1">
      <c r="A1172" s="2"/>
      <c r="B1172" s="116"/>
      <c r="C1172" s="116"/>
      <c r="D1172" s="116"/>
      <c r="E1172" s="116"/>
      <c r="F1172" s="116"/>
      <c r="G1172" s="116"/>
      <c r="H1172" s="116"/>
      <c r="I1172" s="116"/>
      <c r="J1172" s="116"/>
    </row>
    <row r="1173" spans="1:10" ht="13.5" customHeight="1">
      <c r="A1173" s="2"/>
      <c r="B1173" s="116"/>
      <c r="C1173" s="116"/>
      <c r="D1173" s="116"/>
      <c r="E1173" s="116"/>
      <c r="F1173" s="116"/>
      <c r="G1173" s="116"/>
      <c r="H1173" s="116"/>
      <c r="I1173" s="116"/>
      <c r="J1173" s="116"/>
    </row>
    <row r="1174" spans="1:10" ht="13.5" customHeight="1">
      <c r="A1174" s="2"/>
      <c r="B1174" s="116"/>
      <c r="C1174" s="116"/>
      <c r="D1174" s="116"/>
      <c r="E1174" s="116"/>
      <c r="F1174" s="116"/>
      <c r="G1174" s="116"/>
      <c r="H1174" s="116"/>
      <c r="I1174" s="116"/>
      <c r="J1174" s="116"/>
    </row>
    <row r="1175" spans="1:10" ht="13.5" customHeight="1">
      <c r="A1175" s="2"/>
      <c r="B1175" s="116"/>
      <c r="C1175" s="116"/>
      <c r="D1175" s="116"/>
      <c r="E1175" s="116"/>
      <c r="F1175" s="116"/>
      <c r="G1175" s="116"/>
      <c r="H1175" s="116"/>
      <c r="I1175" s="116"/>
      <c r="J1175" s="116"/>
    </row>
    <row r="1176" spans="1:10" ht="13.5" customHeight="1">
      <c r="A1176" s="2"/>
      <c r="B1176" s="116"/>
      <c r="C1176" s="116"/>
      <c r="D1176" s="116"/>
      <c r="E1176" s="116"/>
      <c r="F1176" s="116"/>
      <c r="G1176" s="116"/>
      <c r="H1176" s="116"/>
      <c r="I1176" s="116"/>
      <c r="J1176" s="116"/>
    </row>
    <row r="1177" spans="1:10" ht="13.5" customHeight="1">
      <c r="A1177" s="2"/>
      <c r="B1177" s="116"/>
      <c r="C1177" s="116"/>
      <c r="D1177" s="116"/>
      <c r="E1177" s="116"/>
      <c r="F1177" s="116"/>
      <c r="G1177" s="116"/>
      <c r="H1177" s="116"/>
      <c r="I1177" s="116"/>
      <c r="J1177" s="116"/>
    </row>
    <row r="1178" spans="1:10" ht="13.5" customHeight="1">
      <c r="A1178" s="2"/>
      <c r="B1178" s="116"/>
      <c r="C1178" s="116"/>
      <c r="D1178" s="116"/>
      <c r="E1178" s="116"/>
      <c r="F1178" s="116"/>
      <c r="G1178" s="116"/>
      <c r="H1178" s="116"/>
      <c r="I1178" s="116"/>
      <c r="J1178" s="116"/>
    </row>
    <row r="1179" spans="1:10" ht="13.5" customHeight="1">
      <c r="A1179" s="2"/>
      <c r="B1179" s="116"/>
      <c r="C1179" s="116"/>
      <c r="D1179" s="116"/>
      <c r="E1179" s="116"/>
      <c r="F1179" s="116"/>
      <c r="G1179" s="116"/>
      <c r="H1179" s="116"/>
      <c r="I1179" s="116"/>
      <c r="J1179" s="116"/>
    </row>
    <row r="1180" spans="1:10" ht="13.5" customHeight="1">
      <c r="A1180" s="2"/>
      <c r="B1180" s="116"/>
      <c r="C1180" s="116"/>
      <c r="D1180" s="116"/>
      <c r="E1180" s="116"/>
      <c r="F1180" s="116"/>
      <c r="G1180" s="116"/>
      <c r="H1180" s="116"/>
      <c r="I1180" s="116"/>
      <c r="J1180" s="116"/>
    </row>
    <row r="1181" spans="1:10" ht="13.5" customHeight="1">
      <c r="A1181" s="2"/>
      <c r="B1181" s="116"/>
      <c r="C1181" s="116"/>
      <c r="D1181" s="116"/>
      <c r="E1181" s="116"/>
      <c r="F1181" s="116"/>
      <c r="G1181" s="116"/>
      <c r="H1181" s="116"/>
      <c r="I1181" s="116"/>
      <c r="J1181" s="116"/>
    </row>
    <row r="1182" spans="1:10" ht="13.5" customHeight="1">
      <c r="A1182" s="2"/>
      <c r="B1182" s="116"/>
      <c r="C1182" s="116"/>
      <c r="D1182" s="116"/>
      <c r="E1182" s="116"/>
      <c r="F1182" s="116"/>
      <c r="G1182" s="116"/>
      <c r="H1182" s="116"/>
      <c r="I1182" s="116"/>
      <c r="J1182" s="116"/>
    </row>
    <row r="1183" spans="1:10" ht="13.5" customHeight="1">
      <c r="A1183" s="2"/>
      <c r="B1183" s="116"/>
      <c r="C1183" s="116"/>
      <c r="D1183" s="116"/>
      <c r="E1183" s="116"/>
      <c r="F1183" s="116"/>
      <c r="G1183" s="116"/>
      <c r="H1183" s="116"/>
      <c r="I1183" s="116"/>
      <c r="J1183" s="116"/>
    </row>
    <row r="1184" spans="1:10" ht="13.5" customHeight="1">
      <c r="A1184" s="2"/>
      <c r="B1184" s="116"/>
      <c r="C1184" s="116"/>
      <c r="D1184" s="116"/>
      <c r="E1184" s="116"/>
      <c r="F1184" s="116"/>
      <c r="G1184" s="116"/>
      <c r="H1184" s="116"/>
      <c r="I1184" s="116"/>
      <c r="J1184" s="116"/>
    </row>
    <row r="1185" spans="1:10" ht="13.5" customHeight="1">
      <c r="A1185" s="2"/>
      <c r="B1185" s="116"/>
      <c r="C1185" s="116"/>
      <c r="D1185" s="116"/>
      <c r="E1185" s="116"/>
      <c r="F1185" s="116"/>
      <c r="G1185" s="116"/>
      <c r="H1185" s="116"/>
      <c r="I1185" s="116"/>
      <c r="J1185" s="116"/>
    </row>
    <row r="1186" spans="1:10" ht="13.5" customHeight="1">
      <c r="A1186" s="2"/>
      <c r="B1186" s="116"/>
      <c r="C1186" s="116"/>
      <c r="D1186" s="116"/>
      <c r="E1186" s="116"/>
      <c r="F1186" s="116"/>
      <c r="G1186" s="116"/>
      <c r="H1186" s="116"/>
      <c r="I1186" s="116"/>
      <c r="J1186" s="116"/>
    </row>
    <row r="1187" spans="1:10" ht="13.5" customHeight="1">
      <c r="A1187" s="2"/>
      <c r="B1187" s="116"/>
      <c r="C1187" s="116"/>
      <c r="D1187" s="116"/>
      <c r="E1187" s="116"/>
      <c r="F1187" s="116"/>
      <c r="G1187" s="116"/>
      <c r="H1187" s="116"/>
      <c r="I1187" s="116"/>
      <c r="J1187" s="116"/>
    </row>
    <row r="1188" spans="1:10" ht="13.5" customHeight="1">
      <c r="A1188" s="2"/>
      <c r="B1188" s="116"/>
      <c r="C1188" s="116"/>
      <c r="D1188" s="116"/>
      <c r="E1188" s="116"/>
      <c r="F1188" s="116"/>
      <c r="G1188" s="116"/>
      <c r="H1188" s="116"/>
      <c r="I1188" s="116"/>
      <c r="J1188" s="116"/>
    </row>
    <row r="1189" spans="1:10" ht="13.5" customHeight="1">
      <c r="A1189" s="2"/>
      <c r="B1189" s="116"/>
      <c r="C1189" s="116"/>
      <c r="D1189" s="116"/>
      <c r="E1189" s="116"/>
      <c r="F1189" s="116"/>
      <c r="G1189" s="116"/>
      <c r="H1189" s="116"/>
      <c r="I1189" s="116"/>
      <c r="J1189" s="116"/>
    </row>
    <row r="1190" spans="1:10" ht="13.5" customHeight="1">
      <c r="A1190" s="2"/>
      <c r="B1190" s="116"/>
      <c r="C1190" s="116"/>
      <c r="D1190" s="116"/>
      <c r="E1190" s="116"/>
      <c r="F1190" s="116"/>
      <c r="G1190" s="116"/>
      <c r="H1190" s="116"/>
      <c r="I1190" s="116"/>
      <c r="J1190" s="116"/>
    </row>
    <row r="1191" spans="1:10" ht="13.5" customHeight="1">
      <c r="A1191" s="2"/>
      <c r="B1191" s="116"/>
      <c r="C1191" s="116"/>
      <c r="D1191" s="116"/>
      <c r="E1191" s="116"/>
      <c r="F1191" s="116"/>
      <c r="G1191" s="116"/>
      <c r="H1191" s="116"/>
      <c r="I1191" s="116"/>
      <c r="J1191" s="116"/>
    </row>
    <row r="1192" spans="1:10" ht="13.5" customHeight="1">
      <c r="A1192" s="2"/>
      <c r="B1192" s="116"/>
      <c r="C1192" s="116"/>
      <c r="D1192" s="116"/>
      <c r="E1192" s="116"/>
      <c r="F1192" s="116"/>
      <c r="G1192" s="116"/>
      <c r="H1192" s="116"/>
      <c r="I1192" s="116"/>
      <c r="J1192" s="116"/>
    </row>
    <row r="1193" spans="1:10" ht="13.5" customHeight="1">
      <c r="A1193" s="2"/>
      <c r="B1193" s="116"/>
      <c r="C1193" s="116"/>
      <c r="D1193" s="116"/>
      <c r="E1193" s="116"/>
      <c r="F1193" s="116"/>
      <c r="G1193" s="116"/>
      <c r="H1193" s="116"/>
      <c r="I1193" s="116"/>
      <c r="J1193" s="116"/>
    </row>
    <row r="1194" spans="1:10" ht="13.5" customHeight="1">
      <c r="A1194" s="2"/>
      <c r="B1194" s="116"/>
      <c r="C1194" s="116"/>
      <c r="D1194" s="116"/>
      <c r="E1194" s="116"/>
      <c r="F1194" s="116"/>
      <c r="G1194" s="116"/>
      <c r="H1194" s="116"/>
      <c r="I1194" s="116"/>
      <c r="J1194" s="116"/>
    </row>
    <row r="1195" spans="1:10" ht="13.5" customHeight="1">
      <c r="A1195" s="2"/>
      <c r="B1195" s="116"/>
      <c r="C1195" s="116"/>
      <c r="D1195" s="116"/>
      <c r="E1195" s="116"/>
      <c r="F1195" s="116"/>
      <c r="G1195" s="116"/>
      <c r="H1195" s="116"/>
      <c r="I1195" s="116"/>
      <c r="J1195" s="116"/>
    </row>
    <row r="1196" spans="1:10" ht="13.5" customHeight="1">
      <c r="A1196" s="2"/>
      <c r="B1196" s="116"/>
      <c r="C1196" s="116"/>
      <c r="D1196" s="116"/>
      <c r="E1196" s="116"/>
      <c r="F1196" s="116"/>
      <c r="G1196" s="116"/>
      <c r="H1196" s="116"/>
      <c r="I1196" s="116"/>
      <c r="J1196" s="116"/>
    </row>
    <row r="1197" spans="1:10" ht="13.5" customHeight="1">
      <c r="A1197" s="2"/>
      <c r="B1197" s="116"/>
      <c r="C1197" s="116"/>
      <c r="D1197" s="116"/>
      <c r="E1197" s="116"/>
      <c r="F1197" s="116"/>
      <c r="G1197" s="116"/>
      <c r="H1197" s="116"/>
      <c r="I1197" s="116"/>
      <c r="J1197" s="116"/>
    </row>
    <row r="1198" spans="1:10" ht="13.5" customHeight="1">
      <c r="A1198" s="2"/>
      <c r="B1198" s="116"/>
      <c r="C1198" s="116"/>
      <c r="D1198" s="116"/>
      <c r="E1198" s="116"/>
      <c r="F1198" s="116"/>
      <c r="G1198" s="116"/>
      <c r="H1198" s="116"/>
      <c r="I1198" s="116"/>
      <c r="J1198" s="116"/>
    </row>
    <row r="1199" spans="1:10" ht="13.5" customHeight="1">
      <c r="A1199" s="2"/>
      <c r="B1199" s="116"/>
      <c r="C1199" s="116"/>
      <c r="D1199" s="116"/>
      <c r="E1199" s="116"/>
      <c r="F1199" s="116"/>
      <c r="G1199" s="116"/>
      <c r="H1199" s="116"/>
      <c r="I1199" s="116"/>
      <c r="J1199" s="116"/>
    </row>
    <row r="1200" spans="1:10" ht="13.5" customHeight="1">
      <c r="A1200" s="2"/>
      <c r="B1200" s="116"/>
      <c r="C1200" s="116"/>
      <c r="D1200" s="116"/>
      <c r="E1200" s="116"/>
      <c r="F1200" s="116"/>
      <c r="G1200" s="116"/>
      <c r="H1200" s="116"/>
      <c r="I1200" s="116"/>
      <c r="J1200" s="116"/>
    </row>
    <row r="1201" spans="1:10" ht="13.5" customHeight="1">
      <c r="A1201" s="2"/>
      <c r="B1201" s="116"/>
      <c r="C1201" s="116"/>
      <c r="D1201" s="116"/>
      <c r="E1201" s="116"/>
      <c r="F1201" s="116"/>
      <c r="G1201" s="116"/>
      <c r="H1201" s="116"/>
      <c r="I1201" s="116"/>
      <c r="J1201" s="116"/>
    </row>
    <row r="1202" spans="1:10" ht="13.5" customHeight="1">
      <c r="A1202" s="2"/>
      <c r="B1202" s="116"/>
      <c r="C1202" s="116"/>
      <c r="D1202" s="116"/>
      <c r="E1202" s="116"/>
      <c r="F1202" s="116"/>
      <c r="G1202" s="116"/>
      <c r="H1202" s="116"/>
      <c r="I1202" s="116"/>
      <c r="J1202" s="116"/>
    </row>
    <row r="1203" spans="1:10" ht="13.5" customHeight="1">
      <c r="A1203" s="2"/>
      <c r="B1203" s="116"/>
      <c r="C1203" s="116"/>
      <c r="D1203" s="116"/>
      <c r="E1203" s="116"/>
      <c r="F1203" s="116"/>
      <c r="G1203" s="116"/>
      <c r="H1203" s="116"/>
      <c r="I1203" s="116"/>
      <c r="J1203" s="116"/>
    </row>
    <row r="1204" spans="1:10" ht="13.5" customHeight="1">
      <c r="A1204" s="2"/>
      <c r="B1204" s="116"/>
      <c r="C1204" s="116"/>
      <c r="D1204" s="116"/>
      <c r="E1204" s="116"/>
      <c r="F1204" s="116"/>
      <c r="G1204" s="116"/>
      <c r="H1204" s="116"/>
      <c r="I1204" s="116"/>
      <c r="J1204" s="116"/>
    </row>
    <row r="1205" spans="1:10" ht="13.5" customHeight="1">
      <c r="A1205" s="2"/>
      <c r="B1205" s="116"/>
      <c r="C1205" s="116"/>
      <c r="D1205" s="116"/>
      <c r="E1205" s="116"/>
      <c r="F1205" s="116"/>
      <c r="G1205" s="116"/>
      <c r="H1205" s="116"/>
      <c r="I1205" s="116"/>
      <c r="J1205" s="116"/>
    </row>
    <row r="1206" spans="1:10" ht="13.5" customHeight="1">
      <c r="A1206" s="2"/>
      <c r="B1206" s="116"/>
      <c r="C1206" s="116"/>
      <c r="D1206" s="116"/>
      <c r="E1206" s="116"/>
      <c r="F1206" s="116"/>
      <c r="G1206" s="116"/>
      <c r="H1206" s="116"/>
      <c r="I1206" s="116"/>
      <c r="J1206" s="116"/>
    </row>
    <row r="1207" spans="1:10" ht="13.5" customHeight="1">
      <c r="A1207" s="2"/>
      <c r="B1207" s="116"/>
      <c r="C1207" s="116"/>
      <c r="D1207" s="116"/>
      <c r="E1207" s="116"/>
      <c r="F1207" s="116"/>
      <c r="G1207" s="116"/>
      <c r="H1207" s="116"/>
      <c r="I1207" s="116"/>
      <c r="J1207" s="116"/>
    </row>
    <row r="1208" spans="1:10" ht="13.5" customHeight="1">
      <c r="A1208" s="2"/>
      <c r="B1208" s="116"/>
      <c r="C1208" s="116"/>
      <c r="D1208" s="116"/>
      <c r="E1208" s="116"/>
      <c r="F1208" s="116"/>
      <c r="G1208" s="116"/>
      <c r="H1208" s="116"/>
      <c r="I1208" s="116"/>
      <c r="J1208" s="116"/>
    </row>
    <row r="1209" spans="1:10" ht="13.5" customHeight="1">
      <c r="A1209" s="2"/>
      <c r="B1209" s="116"/>
      <c r="C1209" s="116"/>
      <c r="D1209" s="116"/>
      <c r="E1209" s="116"/>
      <c r="F1209" s="116"/>
      <c r="G1209" s="116"/>
      <c r="H1209" s="116"/>
      <c r="I1209" s="116"/>
      <c r="J1209" s="116"/>
    </row>
    <row r="1210" spans="1:10" ht="13.5" customHeight="1">
      <c r="A1210" s="2"/>
      <c r="B1210" s="116"/>
      <c r="C1210" s="116"/>
      <c r="D1210" s="116"/>
      <c r="E1210" s="116"/>
      <c r="F1210" s="116"/>
      <c r="G1210" s="116"/>
      <c r="H1210" s="116"/>
      <c r="I1210" s="116"/>
      <c r="J1210" s="116"/>
    </row>
    <row r="1211" spans="1:10" ht="13.5" customHeight="1">
      <c r="A1211" s="2"/>
      <c r="B1211" s="116"/>
      <c r="C1211" s="116"/>
      <c r="D1211" s="116"/>
      <c r="E1211" s="116"/>
      <c r="F1211" s="116"/>
      <c r="G1211" s="116"/>
      <c r="H1211" s="116"/>
      <c r="I1211" s="116"/>
      <c r="J1211" s="116"/>
    </row>
    <row r="1212" spans="1:10" ht="13.5" customHeight="1">
      <c r="A1212" s="2"/>
      <c r="B1212" s="116"/>
      <c r="C1212" s="116"/>
      <c r="D1212" s="116"/>
      <c r="E1212" s="116"/>
      <c r="F1212" s="116"/>
      <c r="G1212" s="116"/>
      <c r="H1212" s="116"/>
      <c r="I1212" s="116"/>
      <c r="J1212" s="116"/>
    </row>
    <row r="1213" spans="1:10" ht="13.5" customHeight="1">
      <c r="A1213" s="2"/>
      <c r="B1213" s="116"/>
      <c r="C1213" s="116"/>
      <c r="D1213" s="116"/>
      <c r="E1213" s="116"/>
      <c r="F1213" s="116"/>
      <c r="G1213" s="116"/>
      <c r="H1213" s="116"/>
      <c r="I1213" s="116"/>
      <c r="J1213" s="116"/>
    </row>
    <row r="1214" spans="1:10" ht="13.5" customHeight="1">
      <c r="A1214" s="2"/>
      <c r="B1214" s="116"/>
      <c r="C1214" s="116"/>
      <c r="D1214" s="116"/>
      <c r="E1214" s="116"/>
      <c r="F1214" s="116"/>
      <c r="G1214" s="116"/>
      <c r="H1214" s="116"/>
      <c r="I1214" s="116"/>
      <c r="J1214" s="116"/>
    </row>
    <row r="1215" spans="1:10" ht="13.5" customHeight="1">
      <c r="A1215" s="2"/>
      <c r="B1215" s="116"/>
      <c r="C1215" s="116"/>
      <c r="D1215" s="116"/>
      <c r="E1215" s="116"/>
      <c r="F1215" s="116"/>
      <c r="G1215" s="116"/>
      <c r="H1215" s="116"/>
      <c r="I1215" s="116"/>
      <c r="J1215" s="116"/>
    </row>
    <row r="1216" spans="1:10" ht="13.5" customHeight="1">
      <c r="A1216" s="2"/>
      <c r="B1216" s="116"/>
      <c r="C1216" s="116"/>
      <c r="D1216" s="116"/>
      <c r="E1216" s="116"/>
      <c r="F1216" s="116"/>
      <c r="G1216" s="116"/>
      <c r="H1216" s="116"/>
      <c r="I1216" s="116"/>
      <c r="J1216" s="116"/>
    </row>
    <row r="1217" spans="1:10" ht="13.5" customHeight="1">
      <c r="A1217" s="2"/>
      <c r="B1217" s="116"/>
      <c r="C1217" s="116"/>
      <c r="D1217" s="116"/>
      <c r="E1217" s="116"/>
      <c r="F1217" s="116"/>
      <c r="G1217" s="116"/>
      <c r="H1217" s="116"/>
      <c r="I1217" s="116"/>
      <c r="J1217" s="116"/>
    </row>
    <row r="1218" spans="1:10" ht="13.5" customHeight="1">
      <c r="A1218" s="2"/>
      <c r="B1218" s="116"/>
      <c r="C1218" s="116"/>
      <c r="D1218" s="116"/>
      <c r="E1218" s="116"/>
      <c r="F1218" s="116"/>
      <c r="G1218" s="116"/>
      <c r="H1218" s="116"/>
      <c r="I1218" s="116"/>
      <c r="J1218" s="116"/>
    </row>
    <row r="1219" spans="1:10" ht="13.5" customHeight="1">
      <c r="A1219" s="2"/>
      <c r="B1219" s="116"/>
      <c r="C1219" s="116"/>
      <c r="D1219" s="116"/>
      <c r="E1219" s="116"/>
      <c r="F1219" s="116"/>
      <c r="G1219" s="116"/>
      <c r="H1219" s="116"/>
      <c r="I1219" s="116"/>
      <c r="J1219" s="116"/>
    </row>
    <row r="1220" spans="1:10" ht="13.5" customHeight="1">
      <c r="A1220" s="2"/>
      <c r="B1220" s="116"/>
      <c r="C1220" s="116"/>
      <c r="D1220" s="116"/>
      <c r="E1220" s="116"/>
      <c r="F1220" s="116"/>
      <c r="G1220" s="116"/>
      <c r="H1220" s="116"/>
      <c r="I1220" s="116"/>
      <c r="J1220" s="116"/>
    </row>
    <row r="1221" spans="1:10" ht="13.5" customHeight="1">
      <c r="A1221" s="2"/>
      <c r="B1221" s="116"/>
      <c r="C1221" s="116"/>
      <c r="D1221" s="116"/>
      <c r="E1221" s="116"/>
      <c r="F1221" s="116"/>
      <c r="G1221" s="116"/>
      <c r="H1221" s="116"/>
      <c r="I1221" s="116"/>
      <c r="J1221" s="116"/>
    </row>
    <row r="1222" spans="1:10" ht="13.5" customHeight="1">
      <c r="A1222" s="2"/>
      <c r="B1222" s="116"/>
      <c r="C1222" s="116"/>
      <c r="D1222" s="116"/>
      <c r="E1222" s="116"/>
      <c r="F1222" s="116"/>
      <c r="G1222" s="116"/>
      <c r="H1222" s="116"/>
      <c r="I1222" s="116"/>
      <c r="J1222" s="116"/>
    </row>
    <row r="1223" spans="1:10" ht="13.5" customHeight="1">
      <c r="A1223" s="2"/>
      <c r="B1223" s="116"/>
      <c r="C1223" s="116"/>
      <c r="D1223" s="116"/>
      <c r="E1223" s="116"/>
      <c r="F1223" s="116"/>
      <c r="G1223" s="116"/>
      <c r="H1223" s="116"/>
      <c r="I1223" s="116"/>
      <c r="J1223" s="116"/>
    </row>
    <row r="1224" spans="1:10" ht="13.5" customHeight="1">
      <c r="A1224" s="2"/>
      <c r="B1224" s="116"/>
      <c r="C1224" s="116"/>
      <c r="D1224" s="116"/>
      <c r="E1224" s="116"/>
      <c r="F1224" s="116"/>
      <c r="G1224" s="116"/>
      <c r="H1224" s="116"/>
      <c r="I1224" s="116"/>
      <c r="J1224" s="116"/>
    </row>
    <row r="1225" spans="1:10" ht="13.5" customHeight="1">
      <c r="A1225" s="2"/>
      <c r="B1225" s="116"/>
      <c r="C1225" s="116"/>
      <c r="D1225" s="116"/>
      <c r="E1225" s="116"/>
      <c r="F1225" s="116"/>
      <c r="G1225" s="116"/>
      <c r="H1225" s="116"/>
      <c r="I1225" s="116"/>
      <c r="J1225" s="116"/>
    </row>
    <row r="1226" spans="1:10" ht="13.5" customHeight="1">
      <c r="A1226" s="2"/>
      <c r="B1226" s="116"/>
      <c r="C1226" s="116"/>
      <c r="D1226" s="116"/>
      <c r="E1226" s="116"/>
      <c r="F1226" s="116"/>
      <c r="G1226" s="116"/>
      <c r="H1226" s="116"/>
      <c r="I1226" s="116"/>
      <c r="J1226" s="116"/>
    </row>
    <row r="1227" spans="1:10" ht="13.5" customHeight="1">
      <c r="A1227" s="2"/>
      <c r="B1227" s="116"/>
      <c r="C1227" s="116"/>
      <c r="D1227" s="116"/>
      <c r="E1227" s="116"/>
      <c r="F1227" s="116"/>
      <c r="G1227" s="116"/>
      <c r="H1227" s="116"/>
      <c r="I1227" s="116"/>
      <c r="J1227" s="116"/>
    </row>
    <row r="1228" spans="1:10" ht="13.5" customHeight="1">
      <c r="A1228" s="2"/>
      <c r="B1228" s="116"/>
      <c r="C1228" s="116"/>
      <c r="D1228" s="116"/>
      <c r="E1228" s="116"/>
      <c r="F1228" s="116"/>
      <c r="G1228" s="116"/>
      <c r="H1228" s="116"/>
      <c r="I1228" s="116"/>
      <c r="J1228" s="116"/>
    </row>
    <row r="1229" spans="1:10" ht="13.5" customHeight="1">
      <c r="A1229" s="2"/>
      <c r="B1229" s="116"/>
      <c r="C1229" s="116"/>
      <c r="D1229" s="116"/>
      <c r="E1229" s="116"/>
      <c r="F1229" s="116"/>
      <c r="G1229" s="116"/>
      <c r="H1229" s="116"/>
      <c r="I1229" s="116"/>
      <c r="J1229" s="116"/>
    </row>
    <row r="1230" spans="1:10" ht="13.5" customHeight="1">
      <c r="A1230" s="2"/>
      <c r="B1230" s="116"/>
      <c r="C1230" s="116"/>
      <c r="D1230" s="116"/>
      <c r="E1230" s="116"/>
      <c r="F1230" s="116"/>
      <c r="G1230" s="116"/>
      <c r="H1230" s="116"/>
      <c r="I1230" s="116"/>
      <c r="J1230" s="116"/>
    </row>
    <row r="1231" spans="1:10" ht="13.5" customHeight="1">
      <c r="A1231" s="2"/>
      <c r="B1231" s="116"/>
      <c r="C1231" s="116"/>
      <c r="D1231" s="116"/>
      <c r="E1231" s="116"/>
      <c r="F1231" s="116"/>
      <c r="G1231" s="116"/>
      <c r="H1231" s="116"/>
      <c r="I1231" s="116"/>
      <c r="J1231" s="116"/>
    </row>
    <row r="1232" spans="1:10" ht="13.5" customHeight="1">
      <c r="A1232" s="2"/>
      <c r="B1232" s="116"/>
      <c r="C1232" s="116"/>
      <c r="D1232" s="116"/>
      <c r="E1232" s="116"/>
      <c r="F1232" s="116"/>
      <c r="G1232" s="116"/>
      <c r="H1232" s="116"/>
      <c r="I1232" s="116"/>
      <c r="J1232" s="116"/>
    </row>
    <row r="1233" spans="1:10" ht="13.5" customHeight="1">
      <c r="A1233" s="2"/>
      <c r="B1233" s="116"/>
      <c r="C1233" s="116"/>
      <c r="D1233" s="116"/>
      <c r="E1233" s="116"/>
      <c r="F1233" s="116"/>
      <c r="G1233" s="116"/>
      <c r="H1233" s="116"/>
      <c r="I1233" s="116"/>
      <c r="J1233" s="116"/>
    </row>
    <row r="1234" spans="1:10" ht="13.5" customHeight="1">
      <c r="A1234" s="2"/>
      <c r="B1234" s="116"/>
      <c r="C1234" s="116"/>
      <c r="D1234" s="116"/>
      <c r="E1234" s="116"/>
      <c r="F1234" s="116"/>
      <c r="G1234" s="116"/>
      <c r="H1234" s="116"/>
      <c r="I1234" s="116"/>
      <c r="J1234" s="116"/>
    </row>
    <row r="1235" spans="1:10" ht="13.5" customHeight="1">
      <c r="A1235" s="2"/>
      <c r="B1235" s="116"/>
      <c r="C1235" s="116"/>
      <c r="D1235" s="116"/>
      <c r="E1235" s="116"/>
      <c r="F1235" s="116"/>
      <c r="G1235" s="116"/>
      <c r="H1235" s="116"/>
      <c r="I1235" s="116"/>
      <c r="J1235" s="116"/>
    </row>
    <row r="1236" spans="1:10" ht="13.5" customHeight="1">
      <c r="A1236" s="2"/>
      <c r="B1236" s="116"/>
      <c r="C1236" s="116"/>
      <c r="D1236" s="116"/>
      <c r="E1236" s="116"/>
      <c r="F1236" s="116"/>
      <c r="G1236" s="116"/>
      <c r="H1236" s="116"/>
      <c r="I1236" s="116"/>
      <c r="J1236" s="116"/>
    </row>
    <row r="1237" spans="1:10" ht="13.5" customHeight="1">
      <c r="A1237" s="2"/>
      <c r="B1237" s="116"/>
      <c r="C1237" s="116"/>
      <c r="D1237" s="116"/>
      <c r="E1237" s="116"/>
      <c r="F1237" s="116"/>
      <c r="G1237" s="116"/>
      <c r="H1237" s="116"/>
      <c r="I1237" s="116"/>
      <c r="J1237" s="116"/>
    </row>
    <row r="1238" spans="1:10" ht="13.5" customHeight="1">
      <c r="A1238" s="2"/>
      <c r="B1238" s="116"/>
      <c r="C1238" s="116"/>
      <c r="D1238" s="116"/>
      <c r="E1238" s="116"/>
      <c r="F1238" s="116"/>
      <c r="G1238" s="116"/>
      <c r="H1238" s="116"/>
      <c r="I1238" s="116"/>
      <c r="J1238" s="116"/>
    </row>
    <row r="1239" spans="1:10" ht="13.5" customHeight="1">
      <c r="A1239" s="2"/>
      <c r="B1239" s="116"/>
      <c r="C1239" s="116"/>
      <c r="D1239" s="116"/>
      <c r="E1239" s="116"/>
      <c r="F1239" s="116"/>
      <c r="G1239" s="116"/>
      <c r="H1239" s="116"/>
      <c r="I1239" s="116"/>
      <c r="J1239" s="116"/>
    </row>
    <row r="1240" spans="1:10" ht="13.5" customHeight="1">
      <c r="A1240" s="2"/>
      <c r="B1240" s="116"/>
      <c r="C1240" s="116"/>
      <c r="D1240" s="116"/>
      <c r="E1240" s="116"/>
      <c r="F1240" s="116"/>
      <c r="G1240" s="116"/>
      <c r="H1240" s="116"/>
      <c r="I1240" s="116"/>
      <c r="J1240" s="116"/>
    </row>
    <row r="1241" spans="1:10" ht="13.5" customHeight="1">
      <c r="A1241" s="2"/>
      <c r="B1241" s="116"/>
      <c r="C1241" s="116"/>
      <c r="D1241" s="116"/>
      <c r="E1241" s="116"/>
      <c r="F1241" s="116"/>
      <c r="G1241" s="116"/>
      <c r="H1241" s="116"/>
      <c r="I1241" s="116"/>
      <c r="J1241" s="116"/>
    </row>
    <row r="1242" spans="1:10" ht="13.5" customHeight="1">
      <c r="A1242" s="2"/>
      <c r="B1242" s="116"/>
      <c r="C1242" s="116"/>
      <c r="D1242" s="116"/>
      <c r="E1242" s="116"/>
      <c r="F1242" s="116"/>
      <c r="G1242" s="116"/>
      <c r="H1242" s="116"/>
      <c r="I1242" s="116"/>
      <c r="J1242" s="116"/>
    </row>
    <row r="1243" spans="1:10" ht="13.5" customHeight="1">
      <c r="A1243" s="2"/>
      <c r="B1243" s="116"/>
      <c r="C1243" s="116"/>
      <c r="D1243" s="116"/>
      <c r="E1243" s="116"/>
      <c r="F1243" s="116"/>
      <c r="G1243" s="116"/>
      <c r="H1243" s="116"/>
      <c r="I1243" s="116"/>
      <c r="J1243" s="116"/>
    </row>
    <row r="1244" spans="1:10" ht="13.5" customHeight="1">
      <c r="A1244" s="2"/>
      <c r="B1244" s="116"/>
      <c r="C1244" s="116"/>
      <c r="D1244" s="116"/>
      <c r="E1244" s="116"/>
      <c r="F1244" s="116"/>
      <c r="G1244" s="116"/>
      <c r="H1244" s="116"/>
      <c r="I1244" s="116"/>
      <c r="J1244" s="116"/>
    </row>
    <row r="1245" spans="1:10" ht="13.5" customHeight="1">
      <c r="A1245" s="2"/>
      <c r="B1245" s="116"/>
      <c r="C1245" s="116"/>
      <c r="D1245" s="116"/>
      <c r="E1245" s="116"/>
      <c r="F1245" s="116"/>
      <c r="G1245" s="116"/>
      <c r="H1245" s="116"/>
      <c r="I1245" s="116"/>
      <c r="J1245" s="116"/>
    </row>
    <row r="1246" spans="1:10" ht="13.5" customHeight="1">
      <c r="A1246" s="2"/>
      <c r="B1246" s="116"/>
      <c r="C1246" s="116"/>
      <c r="D1246" s="116"/>
      <c r="E1246" s="116"/>
      <c r="F1246" s="116"/>
      <c r="G1246" s="116"/>
      <c r="H1246" s="116"/>
      <c r="I1246" s="116"/>
      <c r="J1246" s="116"/>
    </row>
    <row r="1247" spans="1:10" ht="13.5" customHeight="1">
      <c r="A1247" s="2"/>
      <c r="B1247" s="116"/>
      <c r="C1247" s="116"/>
      <c r="D1247" s="116"/>
      <c r="E1247" s="116"/>
      <c r="F1247" s="116"/>
      <c r="G1247" s="116"/>
      <c r="H1247" s="116"/>
      <c r="I1247" s="116"/>
      <c r="J1247" s="116"/>
    </row>
    <row r="1248" spans="1:10" ht="13.5" customHeight="1">
      <c r="A1248" s="2"/>
      <c r="B1248" s="116"/>
      <c r="C1248" s="116"/>
      <c r="D1248" s="116"/>
      <c r="E1248" s="116"/>
      <c r="F1248" s="116"/>
      <c r="G1248" s="116"/>
      <c r="H1248" s="116"/>
      <c r="I1248" s="116"/>
      <c r="J1248" s="116"/>
    </row>
    <row r="1249" spans="1:10" ht="13.5" customHeight="1">
      <c r="A1249" s="2"/>
      <c r="B1249" s="116"/>
      <c r="C1249" s="116"/>
      <c r="D1249" s="116"/>
      <c r="E1249" s="116"/>
      <c r="F1249" s="116"/>
      <c r="G1249" s="116"/>
      <c r="H1249" s="116"/>
      <c r="I1249" s="116"/>
      <c r="J1249" s="116"/>
    </row>
    <row r="1250" spans="1:10" ht="13.5" customHeight="1">
      <c r="A1250" s="2"/>
      <c r="B1250" s="116"/>
      <c r="C1250" s="116"/>
      <c r="D1250" s="116"/>
      <c r="E1250" s="116"/>
      <c r="F1250" s="116"/>
      <c r="G1250" s="116"/>
      <c r="H1250" s="116"/>
      <c r="I1250" s="116"/>
      <c r="J1250" s="116"/>
    </row>
    <row r="1251" spans="1:10" ht="13.5" customHeight="1">
      <c r="A1251" s="2"/>
      <c r="B1251" s="116"/>
      <c r="C1251" s="116"/>
      <c r="D1251" s="116"/>
      <c r="E1251" s="116"/>
      <c r="F1251" s="116"/>
      <c r="G1251" s="116"/>
      <c r="H1251" s="116"/>
      <c r="I1251" s="116"/>
      <c r="J1251" s="116"/>
    </row>
    <row r="1252" spans="1:10" ht="13.5" customHeight="1">
      <c r="A1252" s="2"/>
      <c r="B1252" s="116"/>
      <c r="C1252" s="116"/>
      <c r="D1252" s="116"/>
      <c r="E1252" s="116"/>
      <c r="F1252" s="116"/>
      <c r="G1252" s="116"/>
      <c r="H1252" s="116"/>
      <c r="I1252" s="116"/>
      <c r="J1252" s="116"/>
    </row>
    <row r="1253" spans="1:10" ht="13.5" customHeight="1">
      <c r="A1253" s="2"/>
      <c r="B1253" s="116"/>
      <c r="C1253" s="116"/>
      <c r="D1253" s="116"/>
      <c r="E1253" s="116"/>
      <c r="F1253" s="116"/>
      <c r="G1253" s="116"/>
      <c r="H1253" s="116"/>
      <c r="I1253" s="116"/>
      <c r="J1253" s="116"/>
    </row>
    <row r="1254" spans="1:10" ht="13.5" customHeight="1">
      <c r="A1254" s="2"/>
      <c r="B1254" s="116"/>
      <c r="C1254" s="116"/>
      <c r="D1254" s="116"/>
      <c r="E1254" s="116"/>
      <c r="F1254" s="116"/>
      <c r="G1254" s="116"/>
      <c r="H1254" s="116"/>
      <c r="I1254" s="116"/>
      <c r="J1254" s="116"/>
    </row>
    <row r="1255" spans="1:10" ht="13.5" customHeight="1">
      <c r="A1255" s="2"/>
      <c r="B1255" s="116"/>
      <c r="C1255" s="116"/>
      <c r="D1255" s="116"/>
      <c r="E1255" s="116"/>
      <c r="F1255" s="116"/>
      <c r="G1255" s="116"/>
      <c r="H1255" s="116"/>
      <c r="I1255" s="116"/>
      <c r="J1255" s="116"/>
    </row>
    <row r="1256" spans="1:10" ht="13.5" customHeight="1">
      <c r="A1256" s="2"/>
      <c r="B1256" s="116"/>
      <c r="C1256" s="116"/>
      <c r="D1256" s="116"/>
      <c r="E1256" s="116"/>
      <c r="F1256" s="116"/>
      <c r="G1256" s="116"/>
      <c r="H1256" s="116"/>
      <c r="I1256" s="116"/>
      <c r="J1256" s="116"/>
    </row>
    <row r="1257" spans="1:10" ht="13.5" customHeight="1">
      <c r="A1257" s="2"/>
      <c r="B1257" s="116"/>
      <c r="C1257" s="116"/>
      <c r="D1257" s="116"/>
      <c r="E1257" s="116"/>
      <c r="F1257" s="116"/>
      <c r="G1257" s="116"/>
      <c r="H1257" s="116"/>
      <c r="I1257" s="116"/>
      <c r="J1257" s="116"/>
    </row>
    <row r="1258" spans="1:10" ht="13.5" customHeight="1">
      <c r="A1258" s="2"/>
      <c r="B1258" s="116"/>
      <c r="C1258" s="116"/>
      <c r="D1258" s="116"/>
      <c r="E1258" s="116"/>
      <c r="F1258" s="116"/>
      <c r="G1258" s="116"/>
      <c r="H1258" s="116"/>
      <c r="I1258" s="116"/>
      <c r="J1258" s="116"/>
    </row>
    <row r="1259" spans="1:10" ht="13.5" customHeight="1">
      <c r="A1259" s="2"/>
      <c r="B1259" s="116"/>
      <c r="C1259" s="116"/>
      <c r="D1259" s="116"/>
      <c r="E1259" s="116"/>
      <c r="F1259" s="116"/>
      <c r="G1259" s="116"/>
      <c r="H1259" s="116"/>
      <c r="I1259" s="116"/>
      <c r="J1259" s="116"/>
    </row>
    <row r="1260" spans="1:10" ht="13.5" customHeight="1">
      <c r="A1260" s="2"/>
      <c r="B1260" s="116"/>
      <c r="C1260" s="116"/>
      <c r="D1260" s="116"/>
      <c r="E1260" s="116"/>
      <c r="F1260" s="116"/>
      <c r="G1260" s="116"/>
      <c r="H1260" s="116"/>
      <c r="I1260" s="116"/>
      <c r="J1260" s="116"/>
    </row>
    <row r="1261" spans="1:10" ht="13.5" customHeight="1">
      <c r="A1261" s="2"/>
      <c r="B1261" s="116"/>
      <c r="C1261" s="116"/>
      <c r="D1261" s="116"/>
      <c r="E1261" s="116"/>
      <c r="F1261" s="116"/>
      <c r="G1261" s="116"/>
      <c r="H1261" s="116"/>
      <c r="I1261" s="116"/>
      <c r="J1261" s="116"/>
    </row>
    <row r="1262" spans="1:10" ht="13.5" customHeight="1">
      <c r="A1262" s="2"/>
      <c r="B1262" s="116"/>
      <c r="C1262" s="116"/>
      <c r="D1262" s="116"/>
      <c r="E1262" s="116"/>
      <c r="F1262" s="116"/>
      <c r="G1262" s="116"/>
      <c r="H1262" s="116"/>
      <c r="I1262" s="116"/>
      <c r="J1262" s="116"/>
    </row>
    <row r="1263" spans="1:10" ht="13.5" customHeight="1">
      <c r="A1263" s="2"/>
      <c r="B1263" s="116"/>
      <c r="C1263" s="116"/>
      <c r="D1263" s="116"/>
      <c r="E1263" s="116"/>
      <c r="F1263" s="116"/>
      <c r="G1263" s="116"/>
      <c r="H1263" s="116"/>
      <c r="I1263" s="116"/>
      <c r="J1263" s="116"/>
    </row>
    <row r="1264" spans="1:10" ht="13.5" customHeight="1">
      <c r="A1264" s="2"/>
      <c r="B1264" s="116"/>
      <c r="C1264" s="116"/>
      <c r="D1264" s="116"/>
      <c r="E1264" s="116"/>
      <c r="F1264" s="116"/>
      <c r="G1264" s="116"/>
      <c r="H1264" s="116"/>
      <c r="I1264" s="116"/>
      <c r="J1264" s="116"/>
    </row>
    <row r="1265" spans="1:10" ht="13.5" customHeight="1">
      <c r="A1265" s="2"/>
      <c r="B1265" s="116"/>
      <c r="C1265" s="116"/>
      <c r="D1265" s="116"/>
      <c r="E1265" s="116"/>
      <c r="F1265" s="116"/>
      <c r="G1265" s="116"/>
      <c r="H1265" s="116"/>
      <c r="I1265" s="116"/>
      <c r="J1265" s="116"/>
    </row>
    <row r="1266" spans="1:10" ht="13.5" customHeight="1">
      <c r="A1266" s="2"/>
      <c r="B1266" s="116"/>
      <c r="C1266" s="116"/>
      <c r="D1266" s="116"/>
      <c r="E1266" s="116"/>
      <c r="F1266" s="116"/>
      <c r="G1266" s="116"/>
      <c r="H1266" s="116"/>
      <c r="I1266" s="116"/>
      <c r="J1266" s="116"/>
    </row>
    <row r="1267" spans="1:10" ht="13.5" customHeight="1">
      <c r="A1267" s="2"/>
      <c r="B1267" s="116"/>
      <c r="C1267" s="116"/>
      <c r="D1267" s="116"/>
      <c r="E1267" s="116"/>
      <c r="F1267" s="116"/>
      <c r="G1267" s="116"/>
      <c r="H1267" s="116"/>
      <c r="I1267" s="116"/>
      <c r="J1267" s="116"/>
    </row>
    <row r="1268" spans="1:10" ht="13.5" customHeight="1">
      <c r="A1268" s="2"/>
      <c r="B1268" s="116"/>
      <c r="C1268" s="116"/>
      <c r="D1268" s="116"/>
      <c r="E1268" s="116"/>
      <c r="F1268" s="116"/>
      <c r="G1268" s="116"/>
      <c r="H1268" s="116"/>
      <c r="I1268" s="116"/>
      <c r="J1268" s="116"/>
    </row>
    <row r="1269" spans="1:10" ht="13.5" customHeight="1">
      <c r="A1269" s="2"/>
      <c r="B1269" s="116"/>
      <c r="C1269" s="116"/>
      <c r="D1269" s="116"/>
      <c r="E1269" s="116"/>
      <c r="F1269" s="116"/>
      <c r="G1269" s="116"/>
      <c r="H1269" s="116"/>
      <c r="I1269" s="116"/>
      <c r="J1269" s="116"/>
    </row>
    <row r="1270" spans="1:10" ht="13.5" customHeight="1">
      <c r="A1270" s="2"/>
      <c r="B1270" s="116"/>
      <c r="C1270" s="116"/>
      <c r="D1270" s="116"/>
      <c r="E1270" s="116"/>
      <c r="F1270" s="116"/>
      <c r="G1270" s="116"/>
      <c r="H1270" s="116"/>
      <c r="I1270" s="116"/>
      <c r="J1270" s="116"/>
    </row>
    <row r="1271" spans="1:10" ht="13.5" customHeight="1">
      <c r="A1271" s="2"/>
      <c r="B1271" s="116"/>
      <c r="C1271" s="116"/>
      <c r="D1271" s="116"/>
      <c r="E1271" s="116"/>
      <c r="F1271" s="116"/>
      <c r="G1271" s="116"/>
      <c r="H1271" s="116"/>
      <c r="I1271" s="116"/>
      <c r="J1271" s="116"/>
    </row>
    <row r="1272" spans="1:10" ht="13.5" customHeight="1">
      <c r="A1272" s="2"/>
      <c r="B1272" s="116"/>
      <c r="C1272" s="116"/>
      <c r="D1272" s="116"/>
      <c r="E1272" s="116"/>
      <c r="F1272" s="116"/>
      <c r="G1272" s="116"/>
      <c r="H1272" s="116"/>
      <c r="I1272" s="116"/>
      <c r="J1272" s="116"/>
    </row>
    <row r="1273" spans="1:10" ht="13.5" customHeight="1">
      <c r="A1273" s="2"/>
      <c r="B1273" s="116"/>
      <c r="C1273" s="116"/>
      <c r="D1273" s="116"/>
      <c r="E1273" s="116"/>
      <c r="F1273" s="116"/>
      <c r="G1273" s="116"/>
      <c r="H1273" s="116"/>
      <c r="I1273" s="116"/>
      <c r="J1273" s="116"/>
    </row>
    <row r="1274" spans="1:10" ht="13.5" customHeight="1">
      <c r="A1274" s="2"/>
      <c r="B1274" s="116"/>
      <c r="C1274" s="116"/>
      <c r="D1274" s="116"/>
      <c r="E1274" s="116"/>
      <c r="F1274" s="116"/>
      <c r="G1274" s="116"/>
      <c r="H1274" s="116"/>
      <c r="I1274" s="116"/>
      <c r="J1274" s="116"/>
    </row>
    <row r="1275" spans="1:10" ht="13.5" customHeight="1">
      <c r="A1275" s="2"/>
      <c r="B1275" s="116"/>
      <c r="C1275" s="116"/>
      <c r="D1275" s="116"/>
      <c r="E1275" s="116"/>
      <c r="F1275" s="116"/>
      <c r="G1275" s="116"/>
      <c r="H1275" s="116"/>
      <c r="I1275" s="116"/>
      <c r="J1275" s="116"/>
    </row>
    <row r="1276" spans="1:10" ht="13.5" customHeight="1">
      <c r="A1276" s="2"/>
      <c r="B1276" s="116"/>
      <c r="C1276" s="116"/>
      <c r="D1276" s="116"/>
      <c r="E1276" s="116"/>
      <c r="F1276" s="116"/>
      <c r="G1276" s="116"/>
      <c r="H1276" s="116"/>
      <c r="I1276" s="116"/>
      <c r="J1276" s="116"/>
    </row>
    <row r="1277" spans="1:10" ht="13.5" customHeight="1">
      <c r="A1277" s="2"/>
      <c r="B1277" s="116"/>
      <c r="C1277" s="116"/>
      <c r="D1277" s="116"/>
      <c r="E1277" s="116"/>
      <c r="F1277" s="116"/>
      <c r="G1277" s="116"/>
      <c r="H1277" s="116"/>
      <c r="I1277" s="116"/>
      <c r="J1277" s="116"/>
    </row>
    <row r="1278" spans="1:10" ht="13.5" customHeight="1">
      <c r="A1278" s="2"/>
      <c r="B1278" s="116"/>
      <c r="C1278" s="116"/>
      <c r="D1278" s="116"/>
      <c r="E1278" s="116"/>
      <c r="F1278" s="116"/>
      <c r="G1278" s="116"/>
      <c r="H1278" s="116"/>
      <c r="I1278" s="116"/>
      <c r="J1278" s="116"/>
    </row>
    <row r="1279" spans="1:10" ht="13.5" customHeight="1">
      <c r="A1279" s="2"/>
      <c r="B1279" s="116"/>
      <c r="C1279" s="116"/>
      <c r="D1279" s="116"/>
      <c r="E1279" s="116"/>
      <c r="F1279" s="116"/>
      <c r="G1279" s="116"/>
      <c r="H1279" s="116"/>
      <c r="I1279" s="116"/>
      <c r="J1279" s="116"/>
    </row>
    <row r="1280" spans="1:10" ht="13.5" customHeight="1">
      <c r="A1280" s="2"/>
      <c r="B1280" s="116"/>
      <c r="C1280" s="116"/>
      <c r="D1280" s="116"/>
      <c r="E1280" s="116"/>
      <c r="F1280" s="116"/>
      <c r="G1280" s="116"/>
      <c r="H1280" s="116"/>
      <c r="I1280" s="116"/>
      <c r="J1280" s="116"/>
    </row>
    <row r="1281" spans="1:10" ht="13.5" customHeight="1">
      <c r="A1281" s="2"/>
      <c r="B1281" s="116"/>
      <c r="C1281" s="116"/>
      <c r="D1281" s="116"/>
      <c r="E1281" s="116"/>
      <c r="F1281" s="116"/>
      <c r="G1281" s="116"/>
      <c r="H1281" s="116"/>
      <c r="I1281" s="116"/>
      <c r="J1281" s="116"/>
    </row>
    <row r="1282" spans="1:10" ht="13.5" customHeight="1">
      <c r="A1282" s="2"/>
      <c r="B1282" s="116"/>
      <c r="C1282" s="116"/>
      <c r="D1282" s="116"/>
      <c r="E1282" s="116"/>
      <c r="F1282" s="116"/>
      <c r="G1282" s="116"/>
      <c r="H1282" s="116"/>
      <c r="I1282" s="116"/>
      <c r="J1282" s="116"/>
    </row>
    <row r="1283" spans="1:10" ht="13.5" customHeight="1">
      <c r="A1283" s="2"/>
      <c r="B1283" s="116"/>
      <c r="C1283" s="116"/>
      <c r="D1283" s="116"/>
      <c r="E1283" s="116"/>
      <c r="F1283" s="116"/>
      <c r="G1283" s="116"/>
      <c r="H1283" s="116"/>
      <c r="I1283" s="116"/>
      <c r="J1283" s="116"/>
    </row>
    <row r="1284" spans="1:10" ht="13.5" customHeight="1">
      <c r="A1284" s="2"/>
      <c r="B1284" s="116"/>
      <c r="C1284" s="116"/>
      <c r="D1284" s="116"/>
      <c r="E1284" s="116"/>
      <c r="F1284" s="116"/>
      <c r="G1284" s="116"/>
      <c r="H1284" s="116"/>
      <c r="I1284" s="116"/>
      <c r="J1284" s="116"/>
    </row>
    <row r="1285" spans="1:10" ht="13.5" customHeight="1">
      <c r="A1285" s="2"/>
      <c r="B1285" s="116"/>
      <c r="C1285" s="116"/>
      <c r="D1285" s="116"/>
      <c r="E1285" s="116"/>
      <c r="F1285" s="116"/>
      <c r="G1285" s="116"/>
      <c r="H1285" s="116"/>
      <c r="I1285" s="116"/>
      <c r="J1285" s="116"/>
    </row>
    <row r="1286" spans="1:10" ht="13.5" customHeight="1">
      <c r="A1286" s="2"/>
      <c r="B1286" s="116"/>
      <c r="C1286" s="116"/>
      <c r="D1286" s="116"/>
      <c r="E1286" s="116"/>
      <c r="F1286" s="116"/>
      <c r="G1286" s="116"/>
      <c r="H1286" s="116"/>
      <c r="I1286" s="116"/>
      <c r="J1286" s="116"/>
    </row>
    <row r="1287" spans="1:10" ht="13.5" customHeight="1">
      <c r="A1287" s="2"/>
      <c r="B1287" s="116"/>
      <c r="C1287" s="116"/>
      <c r="D1287" s="116"/>
      <c r="E1287" s="116"/>
      <c r="F1287" s="116"/>
      <c r="G1287" s="116"/>
      <c r="H1287" s="116"/>
      <c r="I1287" s="116"/>
      <c r="J1287" s="116"/>
    </row>
    <row r="1288" spans="1:10" ht="13.5" customHeight="1">
      <c r="A1288" s="2"/>
      <c r="B1288" s="116"/>
      <c r="C1288" s="116"/>
      <c r="D1288" s="116"/>
      <c r="E1288" s="116"/>
      <c r="F1288" s="116"/>
      <c r="G1288" s="116"/>
      <c r="H1288" s="116"/>
      <c r="I1288" s="116"/>
      <c r="J1288" s="116"/>
    </row>
    <row r="1289" spans="1:10" ht="13.5" customHeight="1">
      <c r="A1289" s="2"/>
      <c r="B1289" s="116"/>
      <c r="C1289" s="116"/>
      <c r="D1289" s="116"/>
      <c r="E1289" s="116"/>
      <c r="F1289" s="116"/>
      <c r="G1289" s="116"/>
      <c r="H1289" s="116"/>
      <c r="I1289" s="116"/>
      <c r="J1289" s="116"/>
    </row>
    <row r="1290" spans="1:10" ht="13.5" customHeight="1">
      <c r="A1290" s="2"/>
      <c r="B1290" s="116"/>
      <c r="C1290" s="116"/>
      <c r="D1290" s="116"/>
      <c r="E1290" s="116"/>
      <c r="F1290" s="116"/>
      <c r="G1290" s="116"/>
      <c r="H1290" s="116"/>
      <c r="I1290" s="116"/>
      <c r="J1290" s="116"/>
    </row>
    <row r="1291" spans="1:10" ht="13.5" customHeight="1">
      <c r="A1291" s="2"/>
      <c r="B1291" s="116"/>
      <c r="C1291" s="116"/>
      <c r="D1291" s="116"/>
      <c r="E1291" s="116"/>
      <c r="F1291" s="116"/>
      <c r="G1291" s="116"/>
      <c r="H1291" s="116"/>
      <c r="I1291" s="116"/>
      <c r="J1291" s="116"/>
    </row>
    <row r="1292" spans="1:10" ht="13.5" customHeight="1">
      <c r="A1292" s="2"/>
      <c r="B1292" s="116"/>
      <c r="C1292" s="116"/>
      <c r="D1292" s="116"/>
      <c r="E1292" s="116"/>
      <c r="F1292" s="116"/>
      <c r="G1292" s="116"/>
      <c r="H1292" s="116"/>
      <c r="I1292" s="116"/>
      <c r="J1292" s="116"/>
    </row>
    <row r="1293" spans="1:10" ht="13.5" customHeight="1">
      <c r="A1293" s="2"/>
      <c r="B1293" s="116"/>
      <c r="C1293" s="116"/>
      <c r="D1293" s="116"/>
      <c r="E1293" s="116"/>
      <c r="F1293" s="116"/>
      <c r="G1293" s="116"/>
      <c r="H1293" s="116"/>
      <c r="I1293" s="116"/>
      <c r="J1293" s="116"/>
    </row>
    <row r="1294" spans="1:10" ht="13.5" customHeight="1">
      <c r="A1294" s="2"/>
      <c r="B1294" s="116"/>
      <c r="C1294" s="116"/>
      <c r="D1294" s="116"/>
      <c r="E1294" s="116"/>
      <c r="F1294" s="116"/>
      <c r="G1294" s="116"/>
      <c r="H1294" s="116"/>
      <c r="I1294" s="116"/>
      <c r="J1294" s="116"/>
    </row>
    <row r="1295" spans="1:10" ht="13.5" customHeight="1">
      <c r="A1295" s="2"/>
      <c r="B1295" s="116"/>
      <c r="C1295" s="116"/>
      <c r="D1295" s="116"/>
      <c r="E1295" s="116"/>
      <c r="F1295" s="116"/>
      <c r="G1295" s="116"/>
      <c r="H1295" s="116"/>
      <c r="I1295" s="116"/>
      <c r="J1295" s="116"/>
    </row>
    <row r="1296" spans="1:10" ht="13.5" customHeight="1">
      <c r="A1296" s="2"/>
      <c r="B1296" s="116"/>
      <c r="C1296" s="116"/>
      <c r="D1296" s="116"/>
      <c r="E1296" s="116"/>
      <c r="F1296" s="116"/>
      <c r="G1296" s="116"/>
      <c r="H1296" s="116"/>
      <c r="I1296" s="116"/>
      <c r="J1296" s="116"/>
    </row>
    <row r="1297" spans="1:10" ht="13.5" customHeight="1">
      <c r="A1297" s="2"/>
      <c r="B1297" s="116"/>
      <c r="C1297" s="116"/>
      <c r="D1297" s="116"/>
      <c r="E1297" s="116"/>
      <c r="F1297" s="116"/>
      <c r="G1297" s="116"/>
      <c r="H1297" s="116"/>
      <c r="I1297" s="116"/>
      <c r="J1297" s="116"/>
    </row>
    <row r="1298" spans="1:10" ht="13.5" customHeight="1">
      <c r="A1298" s="2"/>
      <c r="B1298" s="116"/>
      <c r="C1298" s="116"/>
      <c r="D1298" s="116"/>
      <c r="E1298" s="116"/>
      <c r="F1298" s="116"/>
      <c r="G1298" s="116"/>
      <c r="H1298" s="116"/>
      <c r="I1298" s="116"/>
      <c r="J1298" s="116"/>
    </row>
    <row r="1299" spans="1:10" ht="13.5" customHeight="1">
      <c r="A1299" s="2"/>
      <c r="B1299" s="116"/>
      <c r="C1299" s="116"/>
      <c r="D1299" s="116"/>
      <c r="E1299" s="116"/>
      <c r="F1299" s="116"/>
      <c r="G1299" s="116"/>
      <c r="H1299" s="116"/>
      <c r="I1299" s="116"/>
      <c r="J1299" s="116"/>
    </row>
    <row r="1300" spans="1:10" ht="13.5" customHeight="1">
      <c r="A1300" s="2"/>
      <c r="B1300" s="116"/>
      <c r="C1300" s="116"/>
      <c r="D1300" s="116"/>
      <c r="E1300" s="116"/>
      <c r="F1300" s="116"/>
      <c r="G1300" s="116"/>
      <c r="H1300" s="116"/>
      <c r="I1300" s="116"/>
      <c r="J1300" s="116"/>
    </row>
    <row r="1301" spans="1:10" ht="13.5" customHeight="1">
      <c r="A1301" s="2"/>
      <c r="B1301" s="116"/>
      <c r="C1301" s="116"/>
      <c r="D1301" s="116"/>
      <c r="E1301" s="116"/>
      <c r="F1301" s="116"/>
      <c r="G1301" s="116"/>
      <c r="H1301" s="116"/>
      <c r="I1301" s="116"/>
      <c r="J1301" s="116"/>
    </row>
    <row r="1302" spans="1:10" ht="13.5" customHeight="1">
      <c r="A1302" s="2"/>
      <c r="B1302" s="116"/>
      <c r="C1302" s="116"/>
      <c r="D1302" s="116"/>
      <c r="E1302" s="116"/>
      <c r="F1302" s="116"/>
      <c r="G1302" s="116"/>
      <c r="H1302" s="116"/>
      <c r="I1302" s="116"/>
      <c r="J1302" s="116"/>
    </row>
    <row r="1303" spans="1:10" ht="13.5" customHeight="1">
      <c r="A1303" s="2"/>
      <c r="B1303" s="116"/>
      <c r="C1303" s="116"/>
      <c r="D1303" s="116"/>
      <c r="E1303" s="116"/>
      <c r="F1303" s="116"/>
      <c r="G1303" s="116"/>
      <c r="H1303" s="116"/>
      <c r="I1303" s="116"/>
      <c r="J1303" s="116"/>
    </row>
    <row r="1304" spans="1:10" ht="13.5" customHeight="1">
      <c r="A1304" s="2"/>
      <c r="B1304" s="116"/>
      <c r="C1304" s="116"/>
      <c r="D1304" s="116"/>
      <c r="E1304" s="116"/>
      <c r="F1304" s="116"/>
      <c r="G1304" s="116"/>
      <c r="H1304" s="116"/>
      <c r="I1304" s="116"/>
      <c r="J1304" s="116"/>
    </row>
    <row r="1305" spans="1:10" ht="13.5" customHeight="1">
      <c r="A1305" s="2"/>
      <c r="B1305" s="116"/>
      <c r="C1305" s="116"/>
      <c r="D1305" s="116"/>
      <c r="E1305" s="116"/>
      <c r="F1305" s="116"/>
      <c r="G1305" s="116"/>
      <c r="H1305" s="116"/>
      <c r="I1305" s="116"/>
      <c r="J1305" s="116"/>
    </row>
    <row r="1306" spans="1:10" ht="13.5" customHeight="1">
      <c r="A1306" s="2"/>
      <c r="B1306" s="116"/>
      <c r="C1306" s="116"/>
      <c r="D1306" s="116"/>
      <c r="E1306" s="116"/>
      <c r="F1306" s="116"/>
      <c r="G1306" s="116"/>
      <c r="H1306" s="116"/>
      <c r="I1306" s="116"/>
      <c r="J1306" s="116"/>
    </row>
    <row r="1307" spans="1:10" ht="13.5" customHeight="1">
      <c r="A1307" s="2"/>
      <c r="B1307" s="116"/>
      <c r="C1307" s="116"/>
      <c r="D1307" s="116"/>
      <c r="E1307" s="116"/>
      <c r="F1307" s="116"/>
      <c r="G1307" s="116"/>
      <c r="H1307" s="116"/>
      <c r="I1307" s="116"/>
      <c r="J1307" s="116"/>
    </row>
    <row r="1308" spans="1:10" ht="13.5" customHeight="1">
      <c r="A1308" s="2"/>
      <c r="B1308" s="116"/>
      <c r="C1308" s="116"/>
      <c r="D1308" s="116"/>
      <c r="E1308" s="116"/>
      <c r="F1308" s="116"/>
      <c r="G1308" s="116"/>
      <c r="H1308" s="116"/>
      <c r="I1308" s="116"/>
      <c r="J1308" s="116"/>
    </row>
    <row r="1309" spans="1:10" ht="13.5" customHeight="1">
      <c r="A1309" s="2"/>
      <c r="B1309" s="116"/>
      <c r="C1309" s="116"/>
      <c r="D1309" s="116"/>
      <c r="E1309" s="116"/>
      <c r="F1309" s="116"/>
      <c r="G1309" s="116"/>
      <c r="H1309" s="116"/>
      <c r="I1309" s="116"/>
      <c r="J1309" s="116"/>
    </row>
    <row r="1310" spans="1:10" ht="13.5" customHeight="1">
      <c r="A1310" s="2"/>
      <c r="B1310" s="116"/>
      <c r="C1310" s="116"/>
      <c r="D1310" s="116"/>
      <c r="E1310" s="116"/>
      <c r="F1310" s="116"/>
      <c r="G1310" s="116"/>
      <c r="H1310" s="116"/>
      <c r="I1310" s="116"/>
      <c r="J1310" s="116"/>
    </row>
    <row r="1311" spans="1:10" ht="13.5" customHeight="1">
      <c r="A1311" s="2"/>
      <c r="B1311" s="116"/>
      <c r="C1311" s="116"/>
      <c r="D1311" s="116"/>
      <c r="E1311" s="116"/>
      <c r="F1311" s="116"/>
      <c r="G1311" s="116"/>
      <c r="H1311" s="116"/>
      <c r="I1311" s="116"/>
      <c r="J1311" s="116"/>
    </row>
    <row r="1312" spans="1:10" ht="13.5" customHeight="1">
      <c r="A1312" s="2"/>
      <c r="B1312" s="116"/>
      <c r="C1312" s="116"/>
      <c r="D1312" s="116"/>
      <c r="E1312" s="116"/>
      <c r="F1312" s="116"/>
      <c r="G1312" s="116"/>
      <c r="H1312" s="116"/>
      <c r="I1312" s="116"/>
      <c r="J1312" s="116"/>
    </row>
    <row r="1313" spans="1:10" ht="13.5" customHeight="1">
      <c r="A1313" s="2"/>
      <c r="B1313" s="116"/>
      <c r="C1313" s="116"/>
      <c r="D1313" s="116"/>
      <c r="E1313" s="116"/>
      <c r="F1313" s="116"/>
      <c r="G1313" s="116"/>
      <c r="H1313" s="116"/>
      <c r="I1313" s="116"/>
      <c r="J1313" s="116"/>
    </row>
    <row r="1314" spans="1:10" ht="13.5" customHeight="1">
      <c r="A1314" s="2"/>
      <c r="B1314" s="116"/>
      <c r="C1314" s="116"/>
      <c r="D1314" s="116"/>
      <c r="E1314" s="116"/>
      <c r="F1314" s="116"/>
      <c r="G1314" s="116"/>
      <c r="H1314" s="116"/>
      <c r="I1314" s="116"/>
      <c r="J1314" s="116"/>
    </row>
    <row r="1315" spans="1:10" ht="13.5" customHeight="1">
      <c r="A1315" s="2"/>
      <c r="B1315" s="116"/>
      <c r="C1315" s="116"/>
      <c r="D1315" s="116"/>
      <c r="E1315" s="116"/>
      <c r="F1315" s="116"/>
      <c r="G1315" s="116"/>
      <c r="H1315" s="116"/>
      <c r="I1315" s="116"/>
      <c r="J1315" s="116"/>
    </row>
    <row r="1316" spans="1:10" ht="13.5" customHeight="1">
      <c r="A1316" s="2"/>
      <c r="B1316" s="116"/>
      <c r="C1316" s="116"/>
      <c r="D1316" s="116"/>
      <c r="E1316" s="116"/>
      <c r="F1316" s="116"/>
      <c r="G1316" s="116"/>
      <c r="H1316" s="116"/>
      <c r="I1316" s="116"/>
      <c r="J1316" s="116"/>
    </row>
    <row r="1317" spans="1:10" ht="13.5" customHeight="1">
      <c r="A1317" s="2"/>
      <c r="B1317" s="116"/>
      <c r="C1317" s="116"/>
      <c r="D1317" s="116"/>
      <c r="E1317" s="116"/>
      <c r="F1317" s="116"/>
      <c r="G1317" s="116"/>
      <c r="H1317" s="116"/>
      <c r="I1317" s="116"/>
      <c r="J1317" s="116"/>
    </row>
    <row r="1318" spans="1:10" ht="13.5" customHeight="1">
      <c r="A1318" s="2"/>
      <c r="B1318" s="116"/>
      <c r="C1318" s="116"/>
      <c r="D1318" s="116"/>
      <c r="E1318" s="116"/>
      <c r="F1318" s="116"/>
      <c r="G1318" s="116"/>
      <c r="H1318" s="116"/>
      <c r="I1318" s="116"/>
      <c r="J1318" s="116"/>
    </row>
    <row r="1319" spans="1:10" ht="13.5" customHeight="1">
      <c r="A1319" s="2"/>
      <c r="B1319" s="116"/>
      <c r="C1319" s="116"/>
      <c r="D1319" s="116"/>
      <c r="E1319" s="116"/>
      <c r="F1319" s="116"/>
      <c r="G1319" s="116"/>
      <c r="H1319" s="116"/>
      <c r="I1319" s="116"/>
      <c r="J1319" s="116"/>
    </row>
    <row r="1320" spans="1:10" ht="13.5" customHeight="1">
      <c r="A1320" s="2"/>
      <c r="B1320" s="116"/>
      <c r="C1320" s="116"/>
      <c r="D1320" s="116"/>
      <c r="E1320" s="116"/>
      <c r="F1320" s="116"/>
      <c r="G1320" s="116"/>
      <c r="H1320" s="116"/>
      <c r="I1320" s="116"/>
      <c r="J1320" s="116"/>
    </row>
    <row r="1321" spans="1:10" ht="13.5" customHeight="1">
      <c r="A1321" s="2"/>
      <c r="B1321" s="116"/>
      <c r="C1321" s="116"/>
      <c r="D1321" s="116"/>
      <c r="E1321" s="116"/>
      <c r="F1321" s="116"/>
      <c r="G1321" s="116"/>
      <c r="H1321" s="116"/>
      <c r="I1321" s="116"/>
      <c r="J1321" s="116"/>
    </row>
    <row r="1322" spans="1:10" ht="13.5" customHeight="1">
      <c r="A1322" s="2"/>
      <c r="B1322" s="116"/>
      <c r="C1322" s="116"/>
      <c r="D1322" s="116"/>
      <c r="E1322" s="116"/>
      <c r="F1322" s="116"/>
      <c r="G1322" s="116"/>
      <c r="H1322" s="116"/>
      <c r="I1322" s="116"/>
      <c r="J1322" s="116"/>
    </row>
    <row r="1323" spans="1:10" ht="13.5" customHeight="1">
      <c r="A1323" s="2"/>
      <c r="B1323" s="116"/>
      <c r="C1323" s="116"/>
      <c r="D1323" s="116"/>
      <c r="E1323" s="116"/>
      <c r="F1323" s="116"/>
      <c r="G1323" s="116"/>
      <c r="H1323" s="116"/>
      <c r="I1323" s="116"/>
      <c r="J1323" s="116"/>
    </row>
    <row r="1324" spans="1:10" ht="13.5" customHeight="1">
      <c r="A1324" s="2"/>
      <c r="B1324" s="116"/>
      <c r="C1324" s="116"/>
      <c r="D1324" s="116"/>
      <c r="E1324" s="116"/>
      <c r="F1324" s="116"/>
      <c r="G1324" s="116"/>
      <c r="H1324" s="116"/>
      <c r="I1324" s="116"/>
      <c r="J1324" s="116"/>
    </row>
    <row r="1325" spans="1:10" ht="13.5" customHeight="1">
      <c r="A1325" s="2"/>
      <c r="B1325" s="116"/>
      <c r="C1325" s="116"/>
      <c r="D1325" s="116"/>
      <c r="E1325" s="116"/>
      <c r="F1325" s="116"/>
      <c r="G1325" s="116"/>
      <c r="H1325" s="116"/>
      <c r="I1325" s="116"/>
      <c r="J1325" s="116"/>
    </row>
    <row r="1326" spans="1:10" ht="13.5" customHeight="1">
      <c r="A1326" s="2"/>
      <c r="B1326" s="116"/>
      <c r="C1326" s="116"/>
      <c r="D1326" s="116"/>
      <c r="E1326" s="116"/>
      <c r="F1326" s="116"/>
      <c r="G1326" s="116"/>
      <c r="H1326" s="116"/>
      <c r="I1326" s="116"/>
      <c r="J1326" s="116"/>
    </row>
    <row r="1327" spans="1:10" ht="13.5" customHeight="1">
      <c r="A1327" s="2"/>
      <c r="B1327" s="116"/>
      <c r="C1327" s="116"/>
      <c r="D1327" s="116"/>
      <c r="E1327" s="116"/>
      <c r="F1327" s="116"/>
      <c r="G1327" s="116"/>
      <c r="H1327" s="116"/>
      <c r="I1327" s="116"/>
      <c r="J1327" s="116"/>
    </row>
    <row r="1328" spans="1:10" ht="13.5" customHeight="1">
      <c r="A1328" s="2"/>
      <c r="B1328" s="116"/>
      <c r="C1328" s="116"/>
      <c r="D1328" s="116"/>
      <c r="E1328" s="116"/>
      <c r="F1328" s="116"/>
      <c r="G1328" s="116"/>
      <c r="H1328" s="116"/>
      <c r="I1328" s="116"/>
      <c r="J1328" s="116"/>
    </row>
    <row r="1329" spans="1:10" ht="13.5" customHeight="1">
      <c r="A1329" s="2"/>
      <c r="B1329" s="116"/>
      <c r="C1329" s="116"/>
      <c r="D1329" s="116"/>
      <c r="E1329" s="116"/>
      <c r="F1329" s="116"/>
      <c r="G1329" s="116"/>
      <c r="H1329" s="116"/>
      <c r="I1329" s="116"/>
      <c r="J1329" s="116"/>
    </row>
    <row r="1330" spans="1:10" ht="13.5" customHeight="1">
      <c r="A1330" s="2"/>
      <c r="B1330" s="116"/>
      <c r="C1330" s="116"/>
      <c r="D1330" s="116"/>
      <c r="E1330" s="116"/>
      <c r="F1330" s="116"/>
      <c r="G1330" s="116"/>
      <c r="H1330" s="116"/>
      <c r="I1330" s="116"/>
      <c r="J1330" s="116"/>
    </row>
    <row r="1331" spans="1:10" ht="13.5" customHeight="1">
      <c r="A1331" s="2"/>
      <c r="B1331" s="116"/>
      <c r="C1331" s="116"/>
      <c r="D1331" s="116"/>
      <c r="E1331" s="116"/>
      <c r="F1331" s="116"/>
      <c r="G1331" s="116"/>
      <c r="H1331" s="116"/>
      <c r="I1331" s="116"/>
      <c r="J1331" s="116"/>
    </row>
    <row r="1332" spans="1:10" ht="13.5" customHeight="1">
      <c r="A1332" s="2"/>
      <c r="B1332" s="116"/>
      <c r="C1332" s="116"/>
      <c r="D1332" s="116"/>
      <c r="E1332" s="116"/>
      <c r="F1332" s="116"/>
      <c r="G1332" s="116"/>
      <c r="H1332" s="116"/>
      <c r="I1332" s="116"/>
      <c r="J1332" s="116"/>
    </row>
    <row r="1333" spans="1:10" ht="13.5" customHeight="1">
      <c r="A1333" s="2"/>
      <c r="B1333" s="116"/>
      <c r="C1333" s="116"/>
      <c r="D1333" s="116"/>
      <c r="E1333" s="116"/>
      <c r="F1333" s="116"/>
      <c r="G1333" s="116"/>
      <c r="H1333" s="116"/>
      <c r="I1333" s="116"/>
      <c r="J1333" s="116"/>
    </row>
    <row r="1334" spans="1:10" ht="13.5" customHeight="1">
      <c r="A1334" s="2"/>
      <c r="B1334" s="116"/>
      <c r="C1334" s="116"/>
      <c r="D1334" s="116"/>
      <c r="E1334" s="116"/>
      <c r="F1334" s="116"/>
      <c r="G1334" s="116"/>
      <c r="H1334" s="116"/>
      <c r="I1334" s="116"/>
      <c r="J1334" s="116"/>
    </row>
    <row r="1335" spans="1:10" ht="13.5" customHeight="1">
      <c r="A1335" s="2"/>
      <c r="B1335" s="116"/>
      <c r="C1335" s="116"/>
      <c r="D1335" s="116"/>
      <c r="E1335" s="116"/>
      <c r="F1335" s="116"/>
      <c r="G1335" s="116"/>
      <c r="H1335" s="116"/>
      <c r="I1335" s="116"/>
      <c r="J1335" s="116"/>
    </row>
    <row r="1336" spans="1:10" ht="13.5" customHeight="1">
      <c r="A1336" s="2"/>
      <c r="B1336" s="116"/>
      <c r="C1336" s="116"/>
      <c r="D1336" s="116"/>
      <c r="E1336" s="116"/>
      <c r="F1336" s="116"/>
      <c r="G1336" s="116"/>
      <c r="H1336" s="116"/>
      <c r="I1336" s="116"/>
      <c r="J1336" s="116"/>
    </row>
    <row r="1337" spans="1:10" ht="13.5" customHeight="1">
      <c r="A1337" s="2"/>
      <c r="B1337" s="116"/>
      <c r="C1337" s="116"/>
      <c r="D1337" s="116"/>
      <c r="E1337" s="116"/>
      <c r="F1337" s="116"/>
      <c r="G1337" s="116"/>
      <c r="H1337" s="116"/>
      <c r="I1337" s="116"/>
      <c r="J1337" s="116"/>
    </row>
    <row r="1338" spans="1:10" ht="13.5" customHeight="1">
      <c r="A1338" s="2"/>
      <c r="B1338" s="116"/>
      <c r="C1338" s="116"/>
      <c r="D1338" s="116"/>
      <c r="E1338" s="116"/>
      <c r="F1338" s="116"/>
      <c r="G1338" s="116"/>
      <c r="H1338" s="116"/>
      <c r="I1338" s="116"/>
      <c r="J1338" s="116"/>
    </row>
    <row r="1339" spans="1:10" ht="13.5" customHeight="1">
      <c r="A1339" s="2"/>
      <c r="B1339" s="116"/>
      <c r="C1339" s="116"/>
      <c r="D1339" s="116"/>
      <c r="E1339" s="116"/>
      <c r="F1339" s="116"/>
      <c r="G1339" s="116"/>
      <c r="H1339" s="116"/>
      <c r="I1339" s="116"/>
      <c r="J1339" s="116"/>
    </row>
    <row r="1340" spans="1:10" ht="13.5" customHeight="1">
      <c r="A1340" s="2"/>
      <c r="B1340" s="116"/>
      <c r="C1340" s="116"/>
      <c r="D1340" s="116"/>
      <c r="E1340" s="116"/>
      <c r="F1340" s="116"/>
      <c r="G1340" s="116"/>
      <c r="H1340" s="116"/>
      <c r="I1340" s="116"/>
      <c r="J1340" s="116"/>
    </row>
    <row r="1341" spans="1:10" ht="13.5" customHeight="1">
      <c r="A1341" s="2"/>
      <c r="B1341" s="116"/>
      <c r="C1341" s="116"/>
      <c r="D1341" s="116"/>
      <c r="E1341" s="116"/>
      <c r="F1341" s="116"/>
      <c r="G1341" s="116"/>
      <c r="H1341" s="116"/>
      <c r="I1341" s="116"/>
      <c r="J1341" s="116"/>
    </row>
    <row r="1342" spans="1:10" ht="13.5" customHeight="1">
      <c r="A1342" s="2"/>
      <c r="B1342" s="116"/>
      <c r="C1342" s="116"/>
      <c r="D1342" s="116"/>
      <c r="E1342" s="116"/>
      <c r="F1342" s="116"/>
      <c r="G1342" s="116"/>
      <c r="H1342" s="116"/>
      <c r="I1342" s="116"/>
      <c r="J1342" s="116"/>
    </row>
    <row r="1343" spans="1:10" ht="13.5" customHeight="1">
      <c r="A1343" s="2"/>
      <c r="B1343" s="116"/>
      <c r="C1343" s="116"/>
      <c r="D1343" s="116"/>
      <c r="E1343" s="116"/>
      <c r="F1343" s="116"/>
      <c r="G1343" s="116"/>
      <c r="H1343" s="116"/>
      <c r="I1343" s="116"/>
      <c r="J1343" s="116"/>
    </row>
    <row r="1344" spans="1:10" ht="13.5" customHeight="1">
      <c r="A1344" s="2"/>
      <c r="B1344" s="116"/>
      <c r="C1344" s="116"/>
      <c r="D1344" s="116"/>
      <c r="E1344" s="116"/>
      <c r="F1344" s="116"/>
      <c r="G1344" s="116"/>
      <c r="H1344" s="116"/>
      <c r="I1344" s="116"/>
      <c r="J1344" s="116"/>
    </row>
    <row r="1345" spans="1:10" ht="13.5" customHeight="1">
      <c r="A1345" s="2"/>
      <c r="B1345" s="116"/>
      <c r="C1345" s="116"/>
      <c r="D1345" s="116"/>
      <c r="E1345" s="116"/>
      <c r="F1345" s="116"/>
      <c r="G1345" s="116"/>
      <c r="H1345" s="116"/>
      <c r="I1345" s="116"/>
      <c r="J1345" s="116"/>
    </row>
    <row r="1346" spans="1:10" ht="13.5" customHeight="1">
      <c r="A1346" s="2"/>
      <c r="B1346" s="116"/>
      <c r="C1346" s="116"/>
      <c r="D1346" s="116"/>
      <c r="E1346" s="116"/>
      <c r="F1346" s="116"/>
      <c r="G1346" s="116"/>
      <c r="H1346" s="116"/>
      <c r="I1346" s="116"/>
      <c r="J1346" s="116"/>
    </row>
    <row r="1347" spans="1:10" ht="13.5" customHeight="1">
      <c r="A1347" s="2"/>
      <c r="B1347" s="116"/>
      <c r="C1347" s="116"/>
      <c r="D1347" s="116"/>
      <c r="E1347" s="116"/>
      <c r="F1347" s="116"/>
      <c r="G1347" s="116"/>
      <c r="H1347" s="116"/>
      <c r="I1347" s="116"/>
      <c r="J1347" s="116"/>
    </row>
    <row r="1348" spans="1:10" ht="13.5" customHeight="1">
      <c r="A1348" s="2"/>
      <c r="B1348" s="116"/>
      <c r="C1348" s="116"/>
      <c r="D1348" s="116"/>
      <c r="E1348" s="116"/>
      <c r="F1348" s="116"/>
      <c r="G1348" s="116"/>
      <c r="H1348" s="116"/>
      <c r="I1348" s="116"/>
      <c r="J1348" s="116"/>
    </row>
    <row r="1349" spans="1:10" ht="13.5" customHeight="1">
      <c r="A1349" s="2"/>
      <c r="B1349" s="116"/>
      <c r="C1349" s="116"/>
      <c r="D1349" s="116"/>
      <c r="E1349" s="116"/>
      <c r="F1349" s="116"/>
      <c r="G1349" s="116"/>
      <c r="H1349" s="116"/>
      <c r="I1349" s="116"/>
      <c r="J1349" s="116"/>
    </row>
    <row r="1350" spans="1:10" ht="13.5" customHeight="1">
      <c r="A1350" s="2"/>
      <c r="B1350" s="116"/>
      <c r="C1350" s="116"/>
      <c r="D1350" s="116"/>
      <c r="E1350" s="116"/>
      <c r="F1350" s="116"/>
      <c r="G1350" s="116"/>
      <c r="H1350" s="116"/>
      <c r="I1350" s="116"/>
      <c r="J1350" s="116"/>
    </row>
    <row r="1351" spans="1:10" ht="13.5" customHeight="1">
      <c r="A1351" s="2"/>
      <c r="B1351" s="116"/>
      <c r="C1351" s="116"/>
      <c r="D1351" s="116"/>
      <c r="E1351" s="116"/>
      <c r="F1351" s="116"/>
      <c r="G1351" s="116"/>
      <c r="H1351" s="116"/>
      <c r="I1351" s="116"/>
      <c r="J1351" s="116"/>
    </row>
    <row r="1352" spans="1:10" ht="13.5" customHeight="1">
      <c r="A1352" s="2"/>
      <c r="B1352" s="116"/>
      <c r="C1352" s="116"/>
      <c r="D1352" s="116"/>
      <c r="E1352" s="116"/>
      <c r="F1352" s="116"/>
      <c r="G1352" s="116"/>
      <c r="H1352" s="116"/>
      <c r="I1352" s="116"/>
      <c r="J1352" s="116"/>
    </row>
    <row r="1353" spans="1:10" ht="13.5" customHeight="1">
      <c r="A1353" s="2"/>
      <c r="B1353" s="116"/>
      <c r="C1353" s="116"/>
      <c r="D1353" s="116"/>
      <c r="E1353" s="116"/>
      <c r="F1353" s="116"/>
      <c r="G1353" s="116"/>
      <c r="H1353" s="116"/>
      <c r="I1353" s="116"/>
      <c r="J1353" s="116"/>
    </row>
    <row r="1354" spans="1:10" ht="13.5" customHeight="1">
      <c r="A1354" s="2"/>
      <c r="B1354" s="116"/>
      <c r="C1354" s="116"/>
      <c r="D1354" s="116"/>
      <c r="E1354" s="116"/>
      <c r="F1354" s="116"/>
      <c r="G1354" s="116"/>
      <c r="H1354" s="116"/>
      <c r="I1354" s="116"/>
      <c r="J1354" s="116"/>
    </row>
    <row r="1355" spans="1:10" ht="13.5" customHeight="1">
      <c r="A1355" s="2"/>
      <c r="B1355" s="116"/>
      <c r="C1355" s="116"/>
      <c r="D1355" s="116"/>
      <c r="E1355" s="116"/>
      <c r="F1355" s="116"/>
      <c r="G1355" s="116"/>
      <c r="H1355" s="116"/>
      <c r="I1355" s="116"/>
      <c r="J1355" s="116"/>
    </row>
    <row r="1356" spans="1:10" ht="13.5" customHeight="1">
      <c r="A1356" s="2"/>
      <c r="B1356" s="116"/>
      <c r="C1356" s="116"/>
      <c r="D1356" s="116"/>
      <c r="E1356" s="116"/>
      <c r="F1356" s="116"/>
      <c r="G1356" s="116"/>
      <c r="H1356" s="116"/>
      <c r="I1356" s="116"/>
      <c r="J1356" s="116"/>
    </row>
    <row r="1357" spans="1:10" ht="13.5" customHeight="1">
      <c r="A1357" s="2"/>
      <c r="B1357" s="116"/>
      <c r="C1357" s="116"/>
      <c r="D1357" s="116"/>
      <c r="E1357" s="116"/>
      <c r="F1357" s="116"/>
      <c r="G1357" s="116"/>
      <c r="H1357" s="116"/>
      <c r="I1357" s="116"/>
      <c r="J1357" s="116"/>
    </row>
    <row r="1358" spans="1:10" ht="13.5" customHeight="1">
      <c r="A1358" s="2"/>
      <c r="B1358" s="116"/>
      <c r="C1358" s="116"/>
      <c r="D1358" s="116"/>
      <c r="E1358" s="116"/>
      <c r="F1358" s="116"/>
      <c r="G1358" s="116"/>
      <c r="H1358" s="116"/>
      <c r="I1358" s="116"/>
      <c r="J1358" s="116"/>
    </row>
    <row r="1359" spans="1:10" ht="13.5" customHeight="1">
      <c r="A1359" s="2"/>
      <c r="B1359" s="116"/>
      <c r="C1359" s="116"/>
      <c r="D1359" s="116"/>
      <c r="E1359" s="116"/>
      <c r="F1359" s="116"/>
      <c r="G1359" s="116"/>
      <c r="H1359" s="116"/>
      <c r="I1359" s="116"/>
      <c r="J1359" s="116"/>
    </row>
    <row r="1360" spans="1:10" ht="13.5" customHeight="1">
      <c r="A1360" s="2"/>
      <c r="B1360" s="116"/>
      <c r="C1360" s="116"/>
      <c r="D1360" s="116"/>
      <c r="E1360" s="116"/>
      <c r="F1360" s="116"/>
      <c r="G1360" s="116"/>
      <c r="H1360" s="116"/>
      <c r="I1360" s="116"/>
      <c r="J1360" s="116"/>
    </row>
    <row r="1361" spans="1:10" ht="13.5" customHeight="1">
      <c r="A1361" s="2"/>
      <c r="B1361" s="116"/>
      <c r="C1361" s="116"/>
      <c r="D1361" s="116"/>
      <c r="E1361" s="116"/>
      <c r="F1361" s="116"/>
      <c r="G1361" s="116"/>
      <c r="H1361" s="116"/>
      <c r="I1361" s="116"/>
      <c r="J1361" s="116"/>
    </row>
    <row r="1362" spans="1:10" ht="13.5" customHeight="1">
      <c r="A1362" s="2"/>
      <c r="B1362" s="116"/>
      <c r="C1362" s="116"/>
      <c r="D1362" s="116"/>
      <c r="E1362" s="116"/>
      <c r="F1362" s="116"/>
      <c r="G1362" s="116"/>
      <c r="H1362" s="116"/>
      <c r="I1362" s="116"/>
      <c r="J1362" s="116"/>
    </row>
    <row r="1363" spans="1:10" ht="13.5" customHeight="1">
      <c r="A1363" s="2"/>
      <c r="B1363" s="116"/>
      <c r="C1363" s="116"/>
      <c r="D1363" s="116"/>
      <c r="E1363" s="116"/>
      <c r="F1363" s="116"/>
      <c r="G1363" s="116"/>
      <c r="H1363" s="116"/>
      <c r="I1363" s="116"/>
      <c r="J1363" s="116"/>
    </row>
    <row r="1364" spans="1:10" ht="13.5" customHeight="1">
      <c r="A1364" s="2"/>
      <c r="B1364" s="116"/>
      <c r="C1364" s="116"/>
      <c r="D1364" s="116"/>
      <c r="E1364" s="116"/>
      <c r="F1364" s="116"/>
      <c r="G1364" s="116"/>
      <c r="H1364" s="116"/>
      <c r="I1364" s="116"/>
      <c r="J1364" s="116"/>
    </row>
    <row r="1365" spans="1:10" ht="13.5" customHeight="1">
      <c r="A1365" s="2"/>
      <c r="B1365" s="116"/>
      <c r="C1365" s="116"/>
      <c r="D1365" s="116"/>
      <c r="E1365" s="116"/>
      <c r="F1365" s="116"/>
      <c r="G1365" s="116"/>
      <c r="H1365" s="116"/>
      <c r="I1365" s="116"/>
      <c r="J1365" s="116"/>
    </row>
    <row r="1366" spans="1:10" ht="13.5" customHeight="1">
      <c r="A1366" s="2"/>
      <c r="B1366" s="116"/>
      <c r="C1366" s="116"/>
      <c r="D1366" s="116"/>
      <c r="E1366" s="116"/>
      <c r="F1366" s="116"/>
      <c r="G1366" s="116"/>
      <c r="H1366" s="116"/>
      <c r="I1366" s="116"/>
      <c r="J1366" s="116"/>
    </row>
    <row r="1367" spans="1:10" ht="13.5" customHeight="1">
      <c r="A1367" s="2"/>
      <c r="B1367" s="116"/>
      <c r="C1367" s="116"/>
      <c r="D1367" s="116"/>
      <c r="E1367" s="116"/>
      <c r="F1367" s="116"/>
      <c r="G1367" s="116"/>
      <c r="H1367" s="116"/>
      <c r="I1367" s="116"/>
      <c r="J1367" s="116"/>
    </row>
    <row r="1368" spans="1:10" ht="13.5" customHeight="1">
      <c r="A1368" s="2"/>
      <c r="B1368" s="116"/>
      <c r="C1368" s="116"/>
      <c r="D1368" s="116"/>
      <c r="E1368" s="116"/>
      <c r="F1368" s="116"/>
      <c r="G1368" s="116"/>
      <c r="H1368" s="116"/>
      <c r="I1368" s="116"/>
      <c r="J1368" s="116"/>
    </row>
    <row r="1369" spans="1:10" ht="13.5" customHeight="1">
      <c r="A1369" s="2"/>
      <c r="B1369" s="116"/>
      <c r="C1369" s="116"/>
      <c r="D1369" s="116"/>
      <c r="E1369" s="116"/>
      <c r="F1369" s="116"/>
      <c r="G1369" s="116"/>
      <c r="H1369" s="116"/>
      <c r="I1369" s="116"/>
      <c r="J1369" s="116"/>
    </row>
    <row r="1370" spans="1:10" ht="13.5" customHeight="1">
      <c r="A1370" s="2"/>
      <c r="B1370" s="116"/>
      <c r="C1370" s="116"/>
      <c r="D1370" s="116"/>
      <c r="E1370" s="116"/>
      <c r="F1370" s="116"/>
      <c r="G1370" s="116"/>
      <c r="H1370" s="116"/>
      <c r="I1370" s="116"/>
      <c r="J1370" s="116"/>
    </row>
    <row r="1371" spans="1:10" ht="13.5" customHeight="1">
      <c r="A1371" s="2"/>
      <c r="B1371" s="116"/>
      <c r="C1371" s="116"/>
      <c r="D1371" s="116"/>
      <c r="E1371" s="116"/>
      <c r="F1371" s="116"/>
      <c r="G1371" s="116"/>
      <c r="H1371" s="116"/>
      <c r="I1371" s="116"/>
      <c r="J1371" s="116"/>
    </row>
    <row r="1372" spans="1:10" ht="13.5" customHeight="1">
      <c r="A1372" s="2"/>
      <c r="B1372" s="116"/>
      <c r="C1372" s="116"/>
      <c r="D1372" s="116"/>
      <c r="E1372" s="116"/>
      <c r="F1372" s="116"/>
      <c r="G1372" s="116"/>
      <c r="H1372" s="116"/>
      <c r="I1372" s="116"/>
      <c r="J1372" s="116"/>
    </row>
    <row r="1373" spans="1:10" ht="13.5" customHeight="1">
      <c r="A1373" s="2"/>
      <c r="B1373" s="116"/>
      <c r="C1373" s="116"/>
      <c r="D1373" s="116"/>
      <c r="E1373" s="116"/>
      <c r="F1373" s="116"/>
      <c r="G1373" s="116"/>
      <c r="H1373" s="116"/>
      <c r="I1373" s="116"/>
      <c r="J1373" s="116"/>
    </row>
    <row r="1374" spans="1:10" ht="13.5" customHeight="1">
      <c r="A1374" s="2"/>
      <c r="B1374" s="116"/>
      <c r="C1374" s="116"/>
      <c r="D1374" s="116"/>
      <c r="E1374" s="116"/>
      <c r="F1374" s="116"/>
      <c r="G1374" s="116"/>
      <c r="H1374" s="116"/>
      <c r="I1374" s="116"/>
      <c r="J1374" s="116"/>
    </row>
    <row r="1375" spans="1:10" ht="13.5" customHeight="1">
      <c r="A1375" s="2"/>
      <c r="B1375" s="116"/>
      <c r="C1375" s="116"/>
      <c r="D1375" s="116"/>
      <c r="E1375" s="116"/>
      <c r="F1375" s="116"/>
      <c r="G1375" s="116"/>
      <c r="H1375" s="116"/>
      <c r="I1375" s="116"/>
      <c r="J1375" s="116"/>
    </row>
    <row r="1376" spans="1:10" ht="13.5" customHeight="1">
      <c r="A1376" s="2"/>
      <c r="B1376" s="116"/>
      <c r="C1376" s="116"/>
      <c r="D1376" s="116"/>
      <c r="E1376" s="116"/>
      <c r="F1376" s="116"/>
      <c r="G1376" s="116"/>
      <c r="H1376" s="116"/>
      <c r="I1376" s="116"/>
      <c r="J1376" s="116"/>
    </row>
    <row r="1377" spans="1:10" ht="13.5" customHeight="1">
      <c r="A1377" s="2"/>
      <c r="B1377" s="116"/>
      <c r="C1377" s="116"/>
      <c r="D1377" s="116"/>
      <c r="E1377" s="116"/>
      <c r="F1377" s="116"/>
      <c r="G1377" s="116"/>
      <c r="H1377" s="116"/>
      <c r="I1377" s="116"/>
      <c r="J1377" s="116"/>
    </row>
    <row r="1378" spans="1:10" ht="13.5" customHeight="1">
      <c r="A1378" s="2"/>
      <c r="B1378" s="116"/>
      <c r="C1378" s="116"/>
      <c r="D1378" s="116"/>
      <c r="E1378" s="116"/>
      <c r="F1378" s="116"/>
      <c r="G1378" s="116"/>
      <c r="H1378" s="116"/>
      <c r="I1378" s="116"/>
      <c r="J1378" s="116"/>
    </row>
    <row r="1379" spans="1:10" ht="13.5" customHeight="1">
      <c r="A1379" s="2"/>
      <c r="B1379" s="116"/>
      <c r="C1379" s="116"/>
      <c r="D1379" s="116"/>
      <c r="E1379" s="116"/>
      <c r="F1379" s="116"/>
      <c r="G1379" s="116"/>
      <c r="H1379" s="116"/>
      <c r="I1379" s="116"/>
      <c r="J1379" s="116"/>
    </row>
    <row r="1380" spans="1:10" ht="13.5" customHeight="1">
      <c r="A1380" s="2"/>
      <c r="B1380" s="116"/>
      <c r="C1380" s="116"/>
      <c r="D1380" s="116"/>
      <c r="E1380" s="116"/>
      <c r="F1380" s="116"/>
      <c r="G1380" s="116"/>
      <c r="H1380" s="116"/>
      <c r="I1380" s="116"/>
      <c r="J1380" s="116"/>
    </row>
    <row r="1381" spans="1:10" ht="13.5" customHeight="1">
      <c r="A1381" s="2"/>
      <c r="B1381" s="116"/>
      <c r="C1381" s="116"/>
      <c r="D1381" s="116"/>
      <c r="E1381" s="116"/>
      <c r="F1381" s="116"/>
      <c r="G1381" s="116"/>
      <c r="H1381" s="116"/>
      <c r="I1381" s="116"/>
      <c r="J1381" s="116"/>
    </row>
    <row r="1382" spans="1:10" ht="13.5" customHeight="1">
      <c r="A1382" s="2"/>
      <c r="B1382" s="116"/>
      <c r="C1382" s="116"/>
      <c r="D1382" s="116"/>
      <c r="E1382" s="116"/>
      <c r="F1382" s="116"/>
      <c r="G1382" s="116"/>
      <c r="H1382" s="116"/>
      <c r="I1382" s="116"/>
      <c r="J1382" s="116"/>
    </row>
    <row r="1383" spans="1:10" ht="13.5" customHeight="1">
      <c r="A1383" s="2"/>
      <c r="B1383" s="116"/>
      <c r="C1383" s="116"/>
      <c r="D1383" s="116"/>
      <c r="E1383" s="116"/>
      <c r="F1383" s="116"/>
      <c r="G1383" s="116"/>
      <c r="H1383" s="116"/>
      <c r="I1383" s="116"/>
      <c r="J1383" s="116"/>
    </row>
    <row r="1384" spans="1:10" ht="13.5" customHeight="1">
      <c r="A1384" s="2"/>
      <c r="B1384" s="116"/>
      <c r="C1384" s="116"/>
      <c r="D1384" s="116"/>
      <c r="E1384" s="116"/>
      <c r="F1384" s="116"/>
      <c r="G1384" s="116"/>
      <c r="H1384" s="116"/>
      <c r="I1384" s="116"/>
      <c r="J1384" s="116"/>
    </row>
    <row r="1385" spans="1:10" ht="13.5" customHeight="1">
      <c r="A1385" s="2"/>
      <c r="B1385" s="116"/>
      <c r="C1385" s="116"/>
      <c r="D1385" s="116"/>
      <c r="E1385" s="116"/>
      <c r="F1385" s="116"/>
      <c r="G1385" s="116"/>
      <c r="H1385" s="116"/>
      <c r="I1385" s="116"/>
      <c r="J1385" s="116"/>
    </row>
    <row r="1386" spans="1:10" ht="13.5" customHeight="1">
      <c r="A1386" s="2"/>
      <c r="B1386" s="116"/>
      <c r="C1386" s="116"/>
      <c r="D1386" s="116"/>
      <c r="E1386" s="116"/>
      <c r="F1386" s="116"/>
      <c r="G1386" s="116"/>
      <c r="H1386" s="116"/>
      <c r="I1386" s="116"/>
      <c r="J1386" s="116"/>
    </row>
    <row r="1387" spans="1:10" ht="13.5" customHeight="1">
      <c r="A1387" s="2"/>
      <c r="B1387" s="116"/>
      <c r="C1387" s="116"/>
      <c r="D1387" s="116"/>
      <c r="E1387" s="116"/>
      <c r="F1387" s="116"/>
      <c r="G1387" s="116"/>
      <c r="H1387" s="116"/>
      <c r="I1387" s="116"/>
      <c r="J1387" s="116"/>
    </row>
    <row r="1388" spans="1:10" ht="13.5" customHeight="1">
      <c r="A1388" s="2"/>
      <c r="B1388" s="116"/>
      <c r="C1388" s="116"/>
      <c r="D1388" s="116"/>
      <c r="E1388" s="116"/>
      <c r="F1388" s="116"/>
      <c r="G1388" s="116"/>
      <c r="H1388" s="116"/>
      <c r="I1388" s="116"/>
      <c r="J1388" s="116"/>
    </row>
    <row r="1389" spans="1:10" ht="13.5" customHeight="1">
      <c r="A1389" s="2"/>
      <c r="B1389" s="116"/>
      <c r="C1389" s="116"/>
      <c r="D1389" s="116"/>
      <c r="E1389" s="116"/>
      <c r="F1389" s="116"/>
      <c r="G1389" s="116"/>
      <c r="H1389" s="116"/>
      <c r="I1389" s="116"/>
      <c r="J1389" s="116"/>
    </row>
    <row r="1390" spans="1:10" ht="13.5" customHeight="1">
      <c r="A1390" s="2"/>
      <c r="B1390" s="116"/>
      <c r="C1390" s="116"/>
      <c r="D1390" s="116"/>
      <c r="E1390" s="116"/>
      <c r="F1390" s="116"/>
      <c r="G1390" s="116"/>
      <c r="H1390" s="116"/>
      <c r="I1390" s="116"/>
      <c r="J1390" s="116"/>
    </row>
    <row r="1391" spans="1:10" ht="13.5" customHeight="1">
      <c r="A1391" s="2"/>
      <c r="B1391" s="116"/>
      <c r="C1391" s="116"/>
      <c r="D1391" s="116"/>
      <c r="E1391" s="116"/>
      <c r="F1391" s="116"/>
      <c r="G1391" s="116"/>
      <c r="H1391" s="116"/>
      <c r="I1391" s="116"/>
      <c r="J1391" s="116"/>
    </row>
    <row r="1392" spans="1:10" ht="13.5" customHeight="1">
      <c r="A1392" s="2"/>
      <c r="B1392" s="116"/>
      <c r="C1392" s="116"/>
      <c r="D1392" s="116"/>
      <c r="E1392" s="116"/>
      <c r="F1392" s="116"/>
      <c r="G1392" s="116"/>
      <c r="H1392" s="116"/>
      <c r="I1392" s="116"/>
      <c r="J1392" s="116"/>
    </row>
    <row r="1393" spans="1:10" ht="13.5" customHeight="1">
      <c r="A1393" s="2"/>
      <c r="B1393" s="116"/>
      <c r="C1393" s="116"/>
      <c r="D1393" s="116"/>
      <c r="E1393" s="116"/>
      <c r="F1393" s="116"/>
      <c r="G1393" s="116"/>
      <c r="H1393" s="116"/>
      <c r="I1393" s="116"/>
      <c r="J1393" s="116"/>
    </row>
    <row r="1394" spans="1:10" ht="13.5" customHeight="1">
      <c r="A1394" s="2"/>
      <c r="B1394" s="116"/>
      <c r="C1394" s="116"/>
      <c r="D1394" s="116"/>
      <c r="E1394" s="116"/>
      <c r="F1394" s="116"/>
      <c r="G1394" s="116"/>
      <c r="H1394" s="116"/>
      <c r="I1394" s="116"/>
      <c r="J1394" s="116"/>
    </row>
    <row r="1395" spans="1:10" ht="13.5" customHeight="1">
      <c r="A1395" s="2"/>
      <c r="B1395" s="116"/>
      <c r="C1395" s="116"/>
      <c r="D1395" s="116"/>
      <c r="E1395" s="116"/>
      <c r="F1395" s="116"/>
      <c r="G1395" s="116"/>
      <c r="H1395" s="116"/>
      <c r="I1395" s="116"/>
      <c r="J1395" s="116"/>
    </row>
    <row r="1396" spans="1:10" ht="13.5" customHeight="1">
      <c r="A1396" s="2"/>
      <c r="B1396" s="116"/>
      <c r="C1396" s="116"/>
      <c r="D1396" s="116"/>
      <c r="E1396" s="116"/>
      <c r="F1396" s="116"/>
      <c r="G1396" s="116"/>
      <c r="H1396" s="116"/>
      <c r="I1396" s="116"/>
      <c r="J1396" s="116"/>
    </row>
    <row r="1397" spans="1:10" ht="13.5" customHeight="1">
      <c r="A1397" s="2"/>
      <c r="B1397" s="116"/>
      <c r="C1397" s="116"/>
      <c r="D1397" s="116"/>
      <c r="E1397" s="116"/>
      <c r="F1397" s="116"/>
      <c r="G1397" s="116"/>
      <c r="H1397" s="116"/>
      <c r="I1397" s="116"/>
      <c r="J1397" s="116"/>
    </row>
    <row r="1398" spans="1:10" ht="13.5" customHeight="1">
      <c r="A1398" s="2"/>
      <c r="B1398" s="116"/>
      <c r="C1398" s="116"/>
      <c r="D1398" s="116"/>
      <c r="E1398" s="116"/>
      <c r="F1398" s="116"/>
      <c r="G1398" s="116"/>
      <c r="H1398" s="116"/>
      <c r="I1398" s="116"/>
      <c r="J1398" s="116"/>
    </row>
    <row r="1399" spans="1:10" ht="13.5" customHeight="1">
      <c r="A1399" s="2"/>
      <c r="B1399" s="116"/>
      <c r="C1399" s="116"/>
      <c r="D1399" s="116"/>
      <c r="E1399" s="116"/>
      <c r="F1399" s="116"/>
      <c r="G1399" s="116"/>
      <c r="H1399" s="116"/>
      <c r="I1399" s="116"/>
      <c r="J1399" s="116"/>
    </row>
    <row r="1400" spans="1:10" ht="13.5" customHeight="1">
      <c r="A1400" s="2"/>
      <c r="B1400" s="116"/>
      <c r="C1400" s="116"/>
      <c r="D1400" s="116"/>
      <c r="E1400" s="116"/>
      <c r="F1400" s="116"/>
      <c r="G1400" s="116"/>
      <c r="H1400" s="116"/>
      <c r="I1400" s="116"/>
      <c r="J1400" s="116"/>
    </row>
    <row r="1401" spans="1:10" ht="13.5" customHeight="1">
      <c r="A1401" s="2"/>
      <c r="B1401" s="116"/>
      <c r="C1401" s="116"/>
      <c r="D1401" s="116"/>
      <c r="E1401" s="116"/>
      <c r="F1401" s="116"/>
      <c r="G1401" s="116"/>
      <c r="H1401" s="116"/>
      <c r="I1401" s="116"/>
      <c r="J1401" s="116"/>
    </row>
    <row r="1402" spans="1:10" ht="13.5" customHeight="1">
      <c r="A1402" s="2"/>
      <c r="B1402" s="116"/>
      <c r="C1402" s="116"/>
      <c r="D1402" s="116"/>
      <c r="E1402" s="116"/>
      <c r="F1402" s="116"/>
      <c r="G1402" s="116"/>
      <c r="H1402" s="116"/>
      <c r="I1402" s="116"/>
      <c r="J1402" s="116"/>
    </row>
    <row r="1403" spans="1:10" ht="13.5" customHeight="1">
      <c r="A1403" s="2"/>
      <c r="B1403" s="116"/>
      <c r="C1403" s="116"/>
      <c r="D1403" s="116"/>
      <c r="E1403" s="116"/>
      <c r="F1403" s="116"/>
      <c r="G1403" s="116"/>
      <c r="H1403" s="116"/>
      <c r="I1403" s="116"/>
      <c r="J1403" s="116"/>
    </row>
    <row r="1404" spans="1:10" ht="13.5" customHeight="1">
      <c r="A1404" s="2"/>
      <c r="B1404" s="116"/>
      <c r="C1404" s="116"/>
      <c r="D1404" s="116"/>
      <c r="E1404" s="116"/>
      <c r="F1404" s="116"/>
      <c r="G1404" s="116"/>
      <c r="H1404" s="116"/>
      <c r="I1404" s="116"/>
      <c r="J1404" s="116"/>
    </row>
    <row r="1405" spans="1:10" ht="13.5" customHeight="1">
      <c r="A1405" s="2"/>
      <c r="B1405" s="116"/>
      <c r="C1405" s="116"/>
      <c r="D1405" s="116"/>
      <c r="E1405" s="116"/>
      <c r="F1405" s="116"/>
      <c r="G1405" s="116"/>
      <c r="H1405" s="116"/>
      <c r="I1405" s="116"/>
      <c r="J1405" s="116"/>
    </row>
    <row r="1406" spans="1:10" ht="13.5" customHeight="1">
      <c r="A1406" s="2"/>
      <c r="B1406" s="116"/>
      <c r="C1406" s="116"/>
      <c r="D1406" s="116"/>
      <c r="E1406" s="116"/>
      <c r="F1406" s="116"/>
      <c r="G1406" s="116"/>
      <c r="H1406" s="116"/>
      <c r="I1406" s="116"/>
      <c r="J1406" s="116"/>
    </row>
    <row r="1407" spans="1:10" ht="13.5" customHeight="1">
      <c r="A1407" s="2"/>
      <c r="B1407" s="116"/>
      <c r="C1407" s="116"/>
      <c r="D1407" s="116"/>
      <c r="E1407" s="116"/>
      <c r="F1407" s="116"/>
      <c r="G1407" s="116"/>
      <c r="H1407" s="116"/>
      <c r="I1407" s="116"/>
      <c r="J1407" s="116"/>
    </row>
    <row r="1408" spans="1:10" ht="13.5" customHeight="1">
      <c r="A1408" s="2"/>
      <c r="B1408" s="116"/>
      <c r="C1408" s="116"/>
      <c r="D1408" s="116"/>
      <c r="E1408" s="116"/>
      <c r="F1408" s="116"/>
      <c r="G1408" s="116"/>
      <c r="H1408" s="116"/>
      <c r="I1408" s="116"/>
      <c r="J1408" s="116"/>
    </row>
    <row r="1409" spans="1:10" ht="13.5" customHeight="1">
      <c r="A1409" s="2"/>
      <c r="B1409" s="116"/>
      <c r="C1409" s="116"/>
      <c r="D1409" s="116"/>
      <c r="E1409" s="116"/>
      <c r="F1409" s="116"/>
      <c r="G1409" s="116"/>
      <c r="H1409" s="116"/>
      <c r="I1409" s="116"/>
      <c r="J1409" s="116"/>
    </row>
    <row r="1410" spans="1:10" ht="13.5" customHeight="1">
      <c r="A1410" s="2"/>
      <c r="B1410" s="116"/>
      <c r="C1410" s="116"/>
      <c r="D1410" s="116"/>
      <c r="E1410" s="116"/>
      <c r="F1410" s="116"/>
      <c r="G1410" s="116"/>
      <c r="H1410" s="116"/>
      <c r="I1410" s="116"/>
      <c r="J1410" s="116"/>
    </row>
    <row r="1411" spans="1:10" ht="13.5" customHeight="1">
      <c r="A1411" s="2"/>
      <c r="B1411" s="116"/>
      <c r="C1411" s="116"/>
      <c r="D1411" s="116"/>
      <c r="E1411" s="116"/>
      <c r="F1411" s="116"/>
      <c r="G1411" s="116"/>
      <c r="H1411" s="116"/>
      <c r="I1411" s="116"/>
      <c r="J1411" s="116"/>
    </row>
    <row r="1412" spans="1:10" ht="13.5" customHeight="1">
      <c r="A1412" s="2"/>
      <c r="B1412" s="116"/>
      <c r="C1412" s="116"/>
      <c r="D1412" s="116"/>
      <c r="E1412" s="116"/>
      <c r="F1412" s="116"/>
      <c r="G1412" s="116"/>
      <c r="H1412" s="116"/>
      <c r="I1412" s="116"/>
      <c r="J1412" s="116"/>
    </row>
    <row r="1413" spans="1:10" ht="13.5" customHeight="1">
      <c r="A1413" s="2"/>
      <c r="B1413" s="116"/>
      <c r="C1413" s="116"/>
      <c r="D1413" s="116"/>
      <c r="E1413" s="116"/>
      <c r="F1413" s="116"/>
      <c r="G1413" s="116"/>
      <c r="H1413" s="116"/>
      <c r="I1413" s="116"/>
      <c r="J1413" s="116"/>
    </row>
    <row r="1414" spans="1:10" ht="13.5" customHeight="1">
      <c r="A1414" s="2"/>
      <c r="B1414" s="116"/>
      <c r="C1414" s="116"/>
      <c r="D1414" s="116"/>
      <c r="E1414" s="116"/>
      <c r="F1414" s="116"/>
      <c r="G1414" s="116"/>
      <c r="H1414" s="116"/>
      <c r="I1414" s="116"/>
      <c r="J1414" s="116"/>
    </row>
    <row r="1415" spans="1:10" ht="13.5" customHeight="1">
      <c r="A1415" s="2"/>
      <c r="B1415" s="116"/>
      <c r="C1415" s="116"/>
      <c r="D1415" s="116"/>
      <c r="E1415" s="116"/>
      <c r="F1415" s="116"/>
      <c r="G1415" s="116"/>
      <c r="H1415" s="116"/>
      <c r="I1415" s="116"/>
      <c r="J1415" s="116"/>
    </row>
    <row r="1416" spans="1:10" ht="13.5" customHeight="1">
      <c r="A1416" s="2"/>
      <c r="B1416" s="116"/>
      <c r="C1416" s="116"/>
      <c r="D1416" s="116"/>
      <c r="E1416" s="116"/>
      <c r="F1416" s="116"/>
      <c r="G1416" s="116"/>
      <c r="H1416" s="116"/>
      <c r="I1416" s="116"/>
      <c r="J1416" s="116"/>
    </row>
    <row r="1417" spans="1:10" ht="13.5" customHeight="1">
      <c r="A1417" s="2"/>
      <c r="B1417" s="116"/>
      <c r="C1417" s="116"/>
      <c r="D1417" s="116"/>
      <c r="E1417" s="116"/>
      <c r="F1417" s="116"/>
      <c r="G1417" s="116"/>
      <c r="H1417" s="116"/>
      <c r="I1417" s="116"/>
      <c r="J1417" s="116"/>
    </row>
    <row r="1418" spans="1:10" ht="13.5" customHeight="1">
      <c r="A1418" s="2"/>
      <c r="B1418" s="116"/>
      <c r="C1418" s="116"/>
      <c r="D1418" s="116"/>
      <c r="E1418" s="116"/>
      <c r="F1418" s="116"/>
      <c r="G1418" s="116"/>
      <c r="H1418" s="116"/>
      <c r="I1418" s="116"/>
      <c r="J1418" s="116"/>
    </row>
    <row r="1419" spans="1:10" ht="13.5" customHeight="1">
      <c r="A1419" s="2"/>
      <c r="B1419" s="116"/>
      <c r="C1419" s="116"/>
      <c r="D1419" s="116"/>
      <c r="E1419" s="116"/>
      <c r="F1419" s="116"/>
      <c r="G1419" s="116"/>
      <c r="H1419" s="116"/>
      <c r="I1419" s="116"/>
      <c r="J1419" s="116"/>
    </row>
    <row r="1420" spans="1:10" ht="13.5" customHeight="1">
      <c r="A1420" s="2"/>
      <c r="B1420" s="116"/>
      <c r="C1420" s="116"/>
      <c r="D1420" s="116"/>
      <c r="E1420" s="116"/>
      <c r="F1420" s="116"/>
      <c r="G1420" s="116"/>
      <c r="H1420" s="116"/>
      <c r="I1420" s="116"/>
      <c r="J1420" s="116"/>
    </row>
    <row r="1421" spans="1:10" ht="13.5" customHeight="1">
      <c r="A1421" s="2"/>
      <c r="B1421" s="116"/>
      <c r="C1421" s="116"/>
      <c r="D1421" s="116"/>
      <c r="E1421" s="116"/>
      <c r="F1421" s="116"/>
      <c r="G1421" s="116"/>
      <c r="H1421" s="116"/>
      <c r="I1421" s="116"/>
      <c r="J1421" s="116"/>
    </row>
    <row r="1422" spans="1:10" ht="13.5" customHeight="1">
      <c r="A1422" s="2"/>
      <c r="B1422" s="116"/>
      <c r="C1422" s="116"/>
      <c r="D1422" s="116"/>
      <c r="E1422" s="116"/>
      <c r="F1422" s="116"/>
      <c r="G1422" s="116"/>
      <c r="H1422" s="116"/>
      <c r="I1422" s="116"/>
      <c r="J1422" s="116"/>
    </row>
    <row r="1423" spans="1:10" ht="13.5" customHeight="1">
      <c r="A1423" s="2"/>
      <c r="B1423" s="116"/>
      <c r="C1423" s="116"/>
      <c r="D1423" s="116"/>
      <c r="E1423" s="116"/>
      <c r="F1423" s="116"/>
      <c r="G1423" s="116"/>
      <c r="H1423" s="116"/>
      <c r="I1423" s="116"/>
      <c r="J1423" s="116"/>
    </row>
    <row r="1424" spans="1:10" ht="13.5" customHeight="1">
      <c r="A1424" s="2"/>
      <c r="B1424" s="116"/>
      <c r="C1424" s="116"/>
      <c r="D1424" s="116"/>
      <c r="E1424" s="116"/>
      <c r="F1424" s="116"/>
      <c r="G1424" s="116"/>
      <c r="H1424" s="116"/>
      <c r="I1424" s="116"/>
      <c r="J1424" s="116"/>
    </row>
    <row r="1425" spans="1:10" ht="13.5" customHeight="1">
      <c r="A1425" s="2"/>
      <c r="B1425" s="116"/>
      <c r="C1425" s="116"/>
      <c r="D1425" s="116"/>
      <c r="E1425" s="116"/>
      <c r="F1425" s="116"/>
      <c r="G1425" s="116"/>
      <c r="H1425" s="116"/>
      <c r="I1425" s="116"/>
      <c r="J1425" s="116"/>
    </row>
    <row r="1426" spans="1:10" ht="13.5" customHeight="1">
      <c r="A1426" s="2"/>
      <c r="B1426" s="116"/>
      <c r="C1426" s="116"/>
      <c r="D1426" s="116"/>
      <c r="E1426" s="116"/>
      <c r="F1426" s="116"/>
      <c r="G1426" s="116"/>
      <c r="H1426" s="116"/>
      <c r="I1426" s="116"/>
      <c r="J1426" s="116"/>
    </row>
    <row r="1427" spans="1:10" ht="13.5" customHeight="1">
      <c r="A1427" s="2"/>
      <c r="B1427" s="116"/>
      <c r="C1427" s="116"/>
      <c r="D1427" s="116"/>
      <c r="E1427" s="116"/>
      <c r="F1427" s="116"/>
      <c r="G1427" s="116"/>
      <c r="H1427" s="116"/>
      <c r="I1427" s="116"/>
      <c r="J1427" s="116"/>
    </row>
    <row r="1428" spans="1:10" ht="13.5" customHeight="1">
      <c r="A1428" s="2"/>
      <c r="B1428" s="116"/>
      <c r="C1428" s="116"/>
      <c r="D1428" s="116"/>
      <c r="E1428" s="116"/>
      <c r="F1428" s="116"/>
      <c r="G1428" s="116"/>
      <c r="H1428" s="116"/>
      <c r="I1428" s="116"/>
      <c r="J1428" s="116"/>
    </row>
    <row r="1429" spans="1:10" ht="13.5" customHeight="1">
      <c r="A1429" s="2"/>
      <c r="B1429" s="116"/>
      <c r="C1429" s="116"/>
      <c r="D1429" s="116"/>
      <c r="E1429" s="116"/>
      <c r="F1429" s="116"/>
      <c r="G1429" s="116"/>
      <c r="H1429" s="116"/>
      <c r="I1429" s="116"/>
      <c r="J1429" s="116"/>
    </row>
    <row r="1430" spans="1:10" ht="13.5" customHeight="1">
      <c r="A1430" s="2"/>
      <c r="B1430" s="116"/>
      <c r="C1430" s="116"/>
      <c r="D1430" s="116"/>
      <c r="E1430" s="116"/>
      <c r="F1430" s="116"/>
      <c r="G1430" s="116"/>
      <c r="H1430" s="116"/>
      <c r="I1430" s="116"/>
      <c r="J1430" s="116"/>
    </row>
    <row r="1431" spans="1:10" ht="13.5" customHeight="1">
      <c r="A1431" s="2"/>
      <c r="B1431" s="116"/>
      <c r="C1431" s="116"/>
      <c r="D1431" s="116"/>
      <c r="E1431" s="116"/>
      <c r="F1431" s="116"/>
      <c r="G1431" s="116"/>
      <c r="H1431" s="116"/>
      <c r="I1431" s="116"/>
      <c r="J1431" s="116"/>
    </row>
    <row r="1432" spans="1:10" ht="13.5" customHeight="1">
      <c r="A1432" s="2"/>
      <c r="B1432" s="116"/>
      <c r="C1432" s="116"/>
      <c r="D1432" s="116"/>
      <c r="E1432" s="116"/>
      <c r="F1432" s="116"/>
      <c r="G1432" s="116"/>
      <c r="H1432" s="116"/>
      <c r="I1432" s="116"/>
      <c r="J1432" s="116"/>
    </row>
    <row r="1433" spans="1:10" ht="13.5" customHeight="1">
      <c r="A1433" s="2"/>
      <c r="B1433" s="116"/>
      <c r="C1433" s="116"/>
      <c r="D1433" s="116"/>
      <c r="E1433" s="116"/>
      <c r="F1433" s="116"/>
      <c r="G1433" s="116"/>
      <c r="H1433" s="116"/>
      <c r="I1433" s="116"/>
      <c r="J1433" s="116"/>
    </row>
    <row r="1434" spans="1:10" ht="13.5" customHeight="1">
      <c r="A1434" s="2"/>
      <c r="B1434" s="116"/>
      <c r="C1434" s="116"/>
      <c r="D1434" s="116"/>
      <c r="E1434" s="116"/>
      <c r="F1434" s="116"/>
      <c r="G1434" s="116"/>
      <c r="H1434" s="116"/>
      <c r="I1434" s="116"/>
      <c r="J1434" s="116"/>
    </row>
    <row r="1435" spans="1:10" ht="13.5" customHeight="1">
      <c r="A1435" s="2"/>
      <c r="B1435" s="116"/>
      <c r="C1435" s="116"/>
      <c r="D1435" s="116"/>
      <c r="E1435" s="116"/>
      <c r="F1435" s="116"/>
      <c r="G1435" s="116"/>
      <c r="H1435" s="116"/>
      <c r="I1435" s="116"/>
      <c r="J1435" s="116"/>
    </row>
    <row r="1436" spans="1:10" ht="13.5" customHeight="1">
      <c r="A1436" s="2"/>
      <c r="B1436" s="116"/>
      <c r="C1436" s="116"/>
      <c r="D1436" s="116"/>
      <c r="E1436" s="116"/>
      <c r="F1436" s="116"/>
      <c r="G1436" s="116"/>
      <c r="H1436" s="116"/>
      <c r="I1436" s="116"/>
      <c r="J1436" s="116"/>
    </row>
    <row r="1437" spans="1:10" ht="13.5" customHeight="1">
      <c r="A1437" s="2"/>
      <c r="B1437" s="116"/>
      <c r="C1437" s="116"/>
      <c r="D1437" s="116"/>
      <c r="E1437" s="116"/>
      <c r="F1437" s="116"/>
      <c r="G1437" s="116"/>
      <c r="H1437" s="116"/>
      <c r="I1437" s="116"/>
      <c r="J1437" s="116"/>
    </row>
    <row r="1438" spans="1:10" ht="13.5" customHeight="1">
      <c r="A1438" s="2"/>
      <c r="B1438" s="116"/>
      <c r="C1438" s="116"/>
      <c r="D1438" s="116"/>
      <c r="E1438" s="116"/>
      <c r="F1438" s="116"/>
      <c r="G1438" s="116"/>
      <c r="H1438" s="116"/>
      <c r="I1438" s="116"/>
      <c r="J1438" s="116"/>
    </row>
    <row r="1439" spans="1:10" ht="13.5" customHeight="1">
      <c r="A1439" s="2"/>
      <c r="B1439" s="116"/>
      <c r="C1439" s="116"/>
      <c r="D1439" s="116"/>
      <c r="E1439" s="116"/>
      <c r="F1439" s="116"/>
      <c r="G1439" s="116"/>
      <c r="H1439" s="116"/>
      <c r="I1439" s="116"/>
      <c r="J1439" s="116"/>
    </row>
    <row r="1440" spans="1:10" ht="13.5" customHeight="1">
      <c r="A1440" s="2"/>
      <c r="B1440" s="116"/>
      <c r="C1440" s="116"/>
      <c r="D1440" s="116"/>
      <c r="E1440" s="116"/>
      <c r="F1440" s="116"/>
      <c r="G1440" s="116"/>
      <c r="H1440" s="116"/>
      <c r="I1440" s="116"/>
      <c r="J1440" s="116"/>
    </row>
    <row r="1441" spans="1:10" ht="13.5" customHeight="1">
      <c r="A1441" s="2"/>
      <c r="B1441" s="116"/>
      <c r="C1441" s="116"/>
      <c r="D1441" s="116"/>
      <c r="E1441" s="116"/>
      <c r="F1441" s="116"/>
      <c r="G1441" s="116"/>
      <c r="H1441" s="116"/>
      <c r="I1441" s="116"/>
      <c r="J1441" s="116"/>
    </row>
    <row r="1442" spans="1:10" ht="13.5" customHeight="1">
      <c r="A1442" s="2"/>
      <c r="B1442" s="116"/>
      <c r="C1442" s="116"/>
      <c r="D1442" s="116"/>
      <c r="E1442" s="116"/>
      <c r="F1442" s="116"/>
      <c r="G1442" s="116"/>
      <c r="H1442" s="116"/>
      <c r="I1442" s="116"/>
      <c r="J1442" s="116"/>
    </row>
    <row r="1443" spans="1:10" ht="13.5" customHeight="1">
      <c r="A1443" s="2"/>
      <c r="B1443" s="116"/>
      <c r="C1443" s="116"/>
      <c r="D1443" s="116"/>
      <c r="E1443" s="116"/>
      <c r="F1443" s="116"/>
      <c r="G1443" s="116"/>
      <c r="H1443" s="116"/>
      <c r="I1443" s="116"/>
      <c r="J1443" s="116"/>
    </row>
    <row r="1444" spans="1:10" ht="13.5" customHeight="1">
      <c r="A1444" s="2"/>
      <c r="B1444" s="116"/>
      <c r="C1444" s="116"/>
      <c r="D1444" s="116"/>
      <c r="E1444" s="116"/>
      <c r="F1444" s="116"/>
      <c r="G1444" s="116"/>
      <c r="H1444" s="116"/>
      <c r="I1444" s="116"/>
      <c r="J1444" s="116"/>
    </row>
    <row r="1445" spans="1:10" ht="13.5" customHeight="1">
      <c r="A1445" s="2"/>
      <c r="B1445" s="116"/>
      <c r="C1445" s="116"/>
      <c r="D1445" s="116"/>
      <c r="E1445" s="116"/>
      <c r="F1445" s="116"/>
      <c r="G1445" s="116"/>
      <c r="H1445" s="116"/>
      <c r="I1445" s="116"/>
      <c r="J1445" s="116"/>
    </row>
    <row r="1446" spans="1:10" ht="13.5" customHeight="1">
      <c r="A1446" s="2"/>
      <c r="B1446" s="116"/>
      <c r="C1446" s="116"/>
      <c r="D1446" s="116"/>
      <c r="E1446" s="116"/>
      <c r="F1446" s="116"/>
      <c r="G1446" s="116"/>
      <c r="H1446" s="116"/>
      <c r="I1446" s="116"/>
      <c r="J1446" s="116"/>
    </row>
    <row r="1447" spans="1:10" ht="13.5" customHeight="1">
      <c r="A1447" s="2"/>
      <c r="B1447" s="116"/>
      <c r="C1447" s="116"/>
      <c r="D1447" s="116"/>
      <c r="E1447" s="116"/>
      <c r="F1447" s="116"/>
      <c r="G1447" s="116"/>
      <c r="H1447" s="116"/>
      <c r="I1447" s="116"/>
      <c r="J1447" s="116"/>
    </row>
    <row r="1448" spans="1:10" ht="13.5" customHeight="1">
      <c r="A1448" s="2"/>
      <c r="B1448" s="116"/>
      <c r="C1448" s="116"/>
      <c r="D1448" s="116"/>
      <c r="E1448" s="116"/>
      <c r="F1448" s="116"/>
      <c r="G1448" s="116"/>
      <c r="H1448" s="116"/>
      <c r="I1448" s="116"/>
      <c r="J1448" s="116"/>
    </row>
    <row r="1449" spans="1:10" ht="13.5" customHeight="1">
      <c r="A1449" s="2"/>
      <c r="B1449" s="116"/>
      <c r="C1449" s="116"/>
      <c r="D1449" s="116"/>
      <c r="E1449" s="116"/>
      <c r="F1449" s="116"/>
      <c r="G1449" s="116"/>
      <c r="H1449" s="116"/>
      <c r="I1449" s="116"/>
      <c r="J1449" s="116"/>
    </row>
    <row r="1450" spans="1:10" ht="13.5" customHeight="1">
      <c r="A1450" s="2"/>
      <c r="B1450" s="116"/>
      <c r="C1450" s="116"/>
      <c r="D1450" s="116"/>
      <c r="E1450" s="116"/>
      <c r="F1450" s="116"/>
      <c r="G1450" s="116"/>
      <c r="H1450" s="116"/>
      <c r="I1450" s="116"/>
      <c r="J1450" s="116"/>
    </row>
    <row r="1451" spans="1:10" ht="13.5" customHeight="1">
      <c r="A1451" s="2"/>
      <c r="B1451" s="116"/>
      <c r="C1451" s="116"/>
      <c r="D1451" s="116"/>
      <c r="E1451" s="116"/>
      <c r="F1451" s="116"/>
      <c r="G1451" s="116"/>
      <c r="H1451" s="116"/>
      <c r="I1451" s="116"/>
      <c r="J1451" s="116"/>
    </row>
    <row r="1452" spans="1:10" ht="13.5" customHeight="1">
      <c r="A1452" s="2"/>
      <c r="B1452" s="116"/>
      <c r="C1452" s="116"/>
      <c r="D1452" s="116"/>
      <c r="E1452" s="116"/>
      <c r="F1452" s="116"/>
      <c r="G1452" s="116"/>
      <c r="H1452" s="116"/>
      <c r="I1452" s="116"/>
      <c r="J1452" s="116"/>
    </row>
    <row r="1453" spans="1:10" ht="13.5" customHeight="1">
      <c r="A1453" s="2"/>
      <c r="B1453" s="116"/>
      <c r="C1453" s="116"/>
      <c r="D1453" s="116"/>
      <c r="E1453" s="116"/>
      <c r="F1453" s="116"/>
      <c r="G1453" s="116"/>
      <c r="H1453" s="116"/>
      <c r="I1453" s="116"/>
      <c r="J1453" s="116"/>
    </row>
    <row r="1454" spans="1:10" ht="13.5" customHeight="1">
      <c r="A1454" s="2"/>
      <c r="B1454" s="116"/>
      <c r="C1454" s="116"/>
      <c r="D1454" s="116"/>
      <c r="E1454" s="116"/>
      <c r="F1454" s="116"/>
      <c r="G1454" s="116"/>
      <c r="H1454" s="116"/>
      <c r="I1454" s="116"/>
      <c r="J1454" s="116"/>
    </row>
    <row r="1455" spans="1:10" ht="13.5" customHeight="1">
      <c r="A1455" s="2"/>
      <c r="B1455" s="116"/>
      <c r="C1455" s="116"/>
      <c r="D1455" s="116"/>
      <c r="E1455" s="116"/>
      <c r="F1455" s="116"/>
      <c r="G1455" s="116"/>
      <c r="H1455" s="116"/>
      <c r="I1455" s="116"/>
      <c r="J1455" s="116"/>
    </row>
    <row r="1456" spans="1:10" ht="13.5" customHeight="1">
      <c r="A1456" s="2"/>
      <c r="B1456" s="116"/>
      <c r="C1456" s="116"/>
      <c r="D1456" s="116"/>
      <c r="E1456" s="116"/>
      <c r="F1456" s="116"/>
      <c r="G1456" s="116"/>
      <c r="H1456" s="116"/>
      <c r="I1456" s="116"/>
      <c r="J1456" s="116"/>
    </row>
    <row r="1457" spans="1:10" ht="13.5" customHeight="1">
      <c r="A1457" s="2"/>
      <c r="B1457" s="116"/>
      <c r="C1457" s="116"/>
      <c r="D1457" s="116"/>
      <c r="E1457" s="116"/>
      <c r="F1457" s="116"/>
      <c r="G1457" s="116"/>
      <c r="H1457" s="116"/>
      <c r="I1457" s="116"/>
      <c r="J1457" s="116"/>
    </row>
    <row r="1458" spans="1:10" ht="13.5" customHeight="1">
      <c r="A1458" s="2"/>
      <c r="B1458" s="116"/>
      <c r="C1458" s="116"/>
      <c r="D1458" s="116"/>
      <c r="E1458" s="116"/>
      <c r="F1458" s="116"/>
      <c r="G1458" s="116"/>
      <c r="H1458" s="116"/>
      <c r="I1458" s="116"/>
      <c r="J1458" s="116"/>
    </row>
    <row r="1459" spans="1:10" ht="13.5" customHeight="1">
      <c r="A1459" s="2"/>
      <c r="B1459" s="116"/>
      <c r="C1459" s="116"/>
      <c r="D1459" s="116"/>
      <c r="E1459" s="116"/>
      <c r="F1459" s="116"/>
      <c r="G1459" s="116"/>
      <c r="H1459" s="116"/>
      <c r="I1459" s="116"/>
      <c r="J1459" s="116"/>
    </row>
    <row r="1460" spans="1:10" ht="13.5" customHeight="1">
      <c r="A1460" s="2"/>
      <c r="B1460" s="116"/>
      <c r="C1460" s="116"/>
      <c r="D1460" s="116"/>
      <c r="E1460" s="116"/>
      <c r="F1460" s="116"/>
      <c r="G1460" s="116"/>
      <c r="H1460" s="116"/>
      <c r="I1460" s="116"/>
      <c r="J1460" s="116"/>
    </row>
    <row r="1461" spans="1:10" ht="13.5" customHeight="1">
      <c r="A1461" s="2"/>
      <c r="B1461" s="116"/>
      <c r="C1461" s="116"/>
      <c r="D1461" s="116"/>
      <c r="E1461" s="116"/>
      <c r="F1461" s="116"/>
      <c r="G1461" s="116"/>
      <c r="H1461" s="116"/>
      <c r="I1461" s="116"/>
      <c r="J1461" s="116"/>
    </row>
    <row r="1462" spans="1:10" ht="13.5" customHeight="1">
      <c r="A1462" s="2"/>
      <c r="B1462" s="116"/>
      <c r="C1462" s="116"/>
      <c r="D1462" s="116"/>
      <c r="E1462" s="116"/>
      <c r="F1462" s="116"/>
      <c r="G1462" s="116"/>
      <c r="H1462" s="116"/>
      <c r="I1462" s="116"/>
      <c r="J1462" s="116"/>
    </row>
    <row r="1463" spans="1:10" ht="13.5" customHeight="1">
      <c r="A1463" s="2"/>
      <c r="B1463" s="116"/>
      <c r="C1463" s="116"/>
      <c r="D1463" s="116"/>
      <c r="E1463" s="116"/>
      <c r="F1463" s="116"/>
      <c r="G1463" s="116"/>
      <c r="H1463" s="116"/>
      <c r="I1463" s="116"/>
      <c r="J1463" s="116"/>
    </row>
    <row r="1464" spans="1:10" ht="13.5" customHeight="1">
      <c r="A1464" s="2"/>
      <c r="B1464" s="116"/>
      <c r="C1464" s="116"/>
      <c r="D1464" s="116"/>
      <c r="E1464" s="116"/>
      <c r="F1464" s="116"/>
      <c r="G1464" s="116"/>
      <c r="H1464" s="116"/>
      <c r="I1464" s="116"/>
      <c r="J1464" s="116"/>
    </row>
    <row r="1465" spans="1:10" ht="13.5" customHeight="1">
      <c r="A1465" s="2"/>
      <c r="B1465" s="116"/>
      <c r="C1465" s="116"/>
      <c r="D1465" s="116"/>
      <c r="E1465" s="116"/>
      <c r="F1465" s="116"/>
      <c r="G1465" s="116"/>
      <c r="H1465" s="116"/>
      <c r="I1465" s="116"/>
      <c r="J1465" s="116"/>
    </row>
    <row r="1466" spans="1:10" ht="13.5" customHeight="1">
      <c r="A1466" s="2"/>
      <c r="B1466" s="116"/>
      <c r="C1466" s="116"/>
      <c r="D1466" s="116"/>
      <c r="E1466" s="116"/>
      <c r="F1466" s="116"/>
      <c r="G1466" s="116"/>
      <c r="H1466" s="116"/>
      <c r="I1466" s="116"/>
      <c r="J1466" s="116"/>
    </row>
    <row r="1467" spans="1:10" ht="13.5" customHeight="1">
      <c r="A1467" s="2"/>
      <c r="B1467" s="116"/>
      <c r="C1467" s="116"/>
      <c r="D1467" s="116"/>
      <c r="E1467" s="116"/>
      <c r="F1467" s="116"/>
      <c r="G1467" s="116"/>
      <c r="H1467" s="116"/>
      <c r="I1467" s="116"/>
      <c r="J1467" s="116"/>
    </row>
    <row r="1468" spans="1:10" ht="13.5" customHeight="1">
      <c r="A1468" s="2"/>
      <c r="B1468" s="116"/>
      <c r="C1468" s="116"/>
      <c r="D1468" s="116"/>
      <c r="E1468" s="116"/>
      <c r="F1468" s="116"/>
      <c r="G1468" s="116"/>
      <c r="H1468" s="116"/>
      <c r="I1468" s="116"/>
      <c r="J1468" s="116"/>
    </row>
    <row r="1469" spans="1:10" ht="13.5" customHeight="1">
      <c r="A1469" s="2"/>
      <c r="B1469" s="116"/>
      <c r="C1469" s="116"/>
      <c r="D1469" s="116"/>
      <c r="E1469" s="116"/>
      <c r="F1469" s="116"/>
      <c r="G1469" s="116"/>
      <c r="H1469" s="116"/>
      <c r="I1469" s="116"/>
      <c r="J1469" s="116"/>
    </row>
    <row r="1470" spans="1:10" ht="13.5" customHeight="1">
      <c r="A1470" s="2"/>
      <c r="B1470" s="116"/>
      <c r="C1470" s="116"/>
      <c r="D1470" s="116"/>
      <c r="E1470" s="116"/>
      <c r="F1470" s="116"/>
      <c r="G1470" s="116"/>
      <c r="H1470" s="116"/>
      <c r="I1470" s="116"/>
      <c r="J1470" s="116"/>
    </row>
    <row r="1471" spans="1:10" ht="13.5" customHeight="1">
      <c r="A1471" s="2"/>
      <c r="B1471" s="116"/>
      <c r="C1471" s="116"/>
      <c r="D1471" s="116"/>
      <c r="E1471" s="116"/>
      <c r="F1471" s="116"/>
      <c r="G1471" s="116"/>
      <c r="H1471" s="116"/>
      <c r="I1471" s="116"/>
      <c r="J1471" s="116"/>
    </row>
    <row r="1472" spans="1:10" ht="13.5" customHeight="1">
      <c r="A1472" s="2"/>
      <c r="B1472" s="116"/>
      <c r="C1472" s="116"/>
      <c r="D1472" s="116"/>
      <c r="E1472" s="116"/>
      <c r="F1472" s="116"/>
      <c r="G1472" s="116"/>
      <c r="H1472" s="116"/>
      <c r="I1472" s="116"/>
      <c r="J1472" s="116"/>
    </row>
    <row r="1473" spans="1:10" ht="13.5" customHeight="1">
      <c r="A1473" s="2"/>
      <c r="B1473" s="116"/>
      <c r="C1473" s="116"/>
      <c r="D1473" s="116"/>
      <c r="E1473" s="116"/>
      <c r="F1473" s="116"/>
      <c r="G1473" s="116"/>
      <c r="H1473" s="116"/>
      <c r="I1473" s="116"/>
      <c r="J1473" s="116"/>
    </row>
    <row r="1474" spans="1:10" ht="13.5" customHeight="1">
      <c r="A1474" s="2"/>
      <c r="B1474" s="116"/>
      <c r="C1474" s="116"/>
      <c r="D1474" s="116"/>
      <c r="E1474" s="116"/>
      <c r="F1474" s="116"/>
      <c r="G1474" s="116"/>
      <c r="H1474" s="116"/>
      <c r="I1474" s="116"/>
      <c r="J1474" s="116"/>
    </row>
    <row r="1475" spans="1:10" ht="13.5" customHeight="1">
      <c r="A1475" s="2"/>
      <c r="B1475" s="116"/>
      <c r="C1475" s="116"/>
      <c r="D1475" s="116"/>
      <c r="E1475" s="116"/>
      <c r="F1475" s="116"/>
      <c r="G1475" s="116"/>
      <c r="H1475" s="116"/>
      <c r="I1475" s="116"/>
      <c r="J1475" s="116"/>
    </row>
    <row r="1476" spans="1:10" ht="13.5" customHeight="1">
      <c r="A1476" s="2"/>
      <c r="B1476" s="116"/>
      <c r="C1476" s="116"/>
      <c r="D1476" s="116"/>
      <c r="E1476" s="116"/>
      <c r="F1476" s="116"/>
      <c r="G1476" s="116"/>
      <c r="H1476" s="116"/>
      <c r="I1476" s="116"/>
      <c r="J1476" s="116"/>
    </row>
    <row r="1477" spans="1:10" ht="13.5" customHeight="1">
      <c r="A1477" s="2"/>
      <c r="B1477" s="116"/>
      <c r="C1477" s="116"/>
      <c r="D1477" s="116"/>
      <c r="E1477" s="116"/>
      <c r="F1477" s="116"/>
      <c r="G1477" s="116"/>
      <c r="H1477" s="116"/>
      <c r="I1477" s="116"/>
      <c r="J1477" s="116"/>
    </row>
    <row r="1478" spans="1:10" ht="13.5" customHeight="1">
      <c r="A1478" s="2"/>
      <c r="B1478" s="116"/>
      <c r="C1478" s="116"/>
      <c r="D1478" s="116"/>
      <c r="E1478" s="116"/>
      <c r="F1478" s="116"/>
      <c r="G1478" s="116"/>
      <c r="H1478" s="116"/>
      <c r="I1478" s="116"/>
      <c r="J1478" s="116"/>
    </row>
    <row r="1479" spans="1:10" ht="13.5" customHeight="1">
      <c r="A1479" s="2"/>
      <c r="B1479" s="116"/>
      <c r="C1479" s="116"/>
      <c r="D1479" s="116"/>
      <c r="E1479" s="116"/>
      <c r="F1479" s="116"/>
      <c r="G1479" s="116"/>
      <c r="H1479" s="116"/>
      <c r="I1479" s="116"/>
      <c r="J1479" s="116"/>
    </row>
    <row r="1480" spans="1:10" ht="13.5" customHeight="1">
      <c r="A1480" s="2"/>
      <c r="B1480" s="116"/>
      <c r="C1480" s="116"/>
      <c r="D1480" s="116"/>
      <c r="E1480" s="116"/>
      <c r="F1480" s="116"/>
      <c r="G1480" s="116"/>
      <c r="H1480" s="116"/>
      <c r="I1480" s="116"/>
      <c r="J1480" s="116"/>
    </row>
    <row r="1481" spans="1:10" ht="13.5" customHeight="1">
      <c r="A1481" s="2"/>
      <c r="B1481" s="116"/>
      <c r="C1481" s="116"/>
      <c r="D1481" s="116"/>
      <c r="E1481" s="116"/>
      <c r="F1481" s="116"/>
      <c r="G1481" s="116"/>
      <c r="H1481" s="116"/>
      <c r="I1481" s="116"/>
      <c r="J1481" s="116"/>
    </row>
    <row r="1482" spans="1:10" ht="13.5" customHeight="1">
      <c r="A1482" s="2"/>
      <c r="B1482" s="116"/>
      <c r="C1482" s="116"/>
      <c r="D1482" s="116"/>
      <c r="E1482" s="116"/>
      <c r="F1482" s="116"/>
      <c r="G1482" s="116"/>
      <c r="H1482" s="116"/>
      <c r="I1482" s="116"/>
      <c r="J1482" s="116"/>
    </row>
    <row r="1483" spans="1:10" ht="13.5" customHeight="1">
      <c r="A1483" s="2"/>
      <c r="B1483" s="116"/>
      <c r="C1483" s="116"/>
      <c r="D1483" s="116"/>
      <c r="E1483" s="116"/>
      <c r="F1483" s="116"/>
      <c r="G1483" s="116"/>
      <c r="H1483" s="116"/>
      <c r="I1483" s="116"/>
      <c r="J1483" s="116"/>
    </row>
    <row r="1484" spans="1:10" ht="13.5" customHeight="1">
      <c r="A1484" s="2"/>
      <c r="B1484" s="116"/>
      <c r="C1484" s="116"/>
      <c r="D1484" s="116"/>
      <c r="E1484" s="116"/>
      <c r="F1484" s="116"/>
      <c r="G1484" s="116"/>
      <c r="H1484" s="116"/>
      <c r="I1484" s="116"/>
      <c r="J1484" s="116"/>
    </row>
    <row r="1485" spans="1:10" ht="13.5" customHeight="1">
      <c r="A1485" s="2"/>
      <c r="B1485" s="116"/>
      <c r="C1485" s="116"/>
      <c r="D1485" s="116"/>
      <c r="E1485" s="116"/>
      <c r="F1485" s="116"/>
      <c r="G1485" s="116"/>
      <c r="H1485" s="116"/>
      <c r="I1485" s="116"/>
      <c r="J1485" s="116"/>
    </row>
    <row r="1486" spans="1:10" ht="13.5" customHeight="1">
      <c r="A1486" s="2"/>
      <c r="B1486" s="116"/>
      <c r="C1486" s="116"/>
      <c r="D1486" s="116"/>
      <c r="E1486" s="116"/>
      <c r="F1486" s="116"/>
      <c r="G1486" s="116"/>
      <c r="H1486" s="116"/>
      <c r="I1486" s="116"/>
      <c r="J1486" s="116"/>
    </row>
    <row r="1487" spans="1:10" ht="13.5" customHeight="1">
      <c r="A1487" s="2"/>
      <c r="B1487" s="116"/>
      <c r="C1487" s="116"/>
      <c r="D1487" s="116"/>
      <c r="E1487" s="116"/>
      <c r="F1487" s="116"/>
      <c r="G1487" s="116"/>
      <c r="H1487" s="116"/>
      <c r="I1487" s="116"/>
      <c r="J1487" s="116"/>
    </row>
    <row r="1488" spans="1:10" ht="13.5" customHeight="1">
      <c r="A1488" s="2"/>
      <c r="B1488" s="116"/>
      <c r="C1488" s="116"/>
      <c r="D1488" s="116"/>
      <c r="E1488" s="116"/>
      <c r="F1488" s="116"/>
      <c r="G1488" s="116"/>
      <c r="H1488" s="116"/>
      <c r="I1488" s="116"/>
      <c r="J1488" s="116"/>
    </row>
    <row r="1489" spans="1:10" ht="13.5" customHeight="1">
      <c r="A1489" s="2"/>
      <c r="B1489" s="116"/>
      <c r="C1489" s="116"/>
      <c r="D1489" s="116"/>
      <c r="E1489" s="116"/>
      <c r="F1489" s="116"/>
      <c r="G1489" s="116"/>
      <c r="H1489" s="116"/>
      <c r="I1489" s="116"/>
      <c r="J1489" s="116"/>
    </row>
    <row r="1490" spans="1:10" ht="13.5" customHeight="1">
      <c r="A1490" s="2"/>
      <c r="B1490" s="116"/>
      <c r="C1490" s="116"/>
      <c r="D1490" s="116"/>
      <c r="E1490" s="116"/>
      <c r="F1490" s="116"/>
      <c r="G1490" s="116"/>
      <c r="H1490" s="116"/>
      <c r="I1490" s="116"/>
      <c r="J1490" s="116"/>
    </row>
    <row r="1491" spans="1:10" ht="13.5" customHeight="1">
      <c r="A1491" s="2"/>
      <c r="B1491" s="116"/>
      <c r="C1491" s="116"/>
      <c r="D1491" s="116"/>
      <c r="E1491" s="116"/>
      <c r="F1491" s="116"/>
      <c r="G1491" s="116"/>
      <c r="H1491" s="116"/>
      <c r="I1491" s="116"/>
      <c r="J1491" s="116"/>
    </row>
    <row r="1492" spans="1:10" ht="13.5" customHeight="1">
      <c r="A1492" s="2"/>
      <c r="B1492" s="116"/>
      <c r="C1492" s="116"/>
      <c r="D1492" s="116"/>
      <c r="E1492" s="116"/>
      <c r="F1492" s="116"/>
      <c r="G1492" s="116"/>
      <c r="H1492" s="116"/>
      <c r="I1492" s="116"/>
      <c r="J1492" s="116"/>
    </row>
    <row r="1493" spans="1:10" ht="13.5" customHeight="1">
      <c r="A1493" s="2"/>
      <c r="B1493" s="116"/>
      <c r="C1493" s="116"/>
      <c r="D1493" s="116"/>
      <c r="E1493" s="116"/>
      <c r="F1493" s="116"/>
      <c r="G1493" s="116"/>
      <c r="H1493" s="116"/>
      <c r="I1493" s="116"/>
      <c r="J1493" s="116"/>
    </row>
    <row r="1494" spans="1:10" ht="13.5" customHeight="1">
      <c r="A1494" s="2"/>
      <c r="B1494" s="116"/>
      <c r="C1494" s="116"/>
      <c r="D1494" s="116"/>
      <c r="E1494" s="116"/>
      <c r="F1494" s="116"/>
      <c r="G1494" s="116"/>
      <c r="H1494" s="116"/>
      <c r="I1494" s="116"/>
      <c r="J1494" s="116"/>
    </row>
    <row r="1495" spans="1:10" ht="13.5" customHeight="1">
      <c r="A1495" s="2"/>
      <c r="B1495" s="116"/>
      <c r="C1495" s="116"/>
      <c r="D1495" s="116"/>
      <c r="E1495" s="116"/>
      <c r="F1495" s="116"/>
      <c r="G1495" s="116"/>
      <c r="H1495" s="116"/>
      <c r="I1495" s="116"/>
      <c r="J1495" s="116"/>
    </row>
    <row r="1496" spans="1:10" ht="13.5" customHeight="1">
      <c r="A1496" s="2"/>
      <c r="B1496" s="116"/>
      <c r="C1496" s="116"/>
      <c r="D1496" s="116"/>
      <c r="E1496" s="116"/>
      <c r="F1496" s="116"/>
      <c r="G1496" s="116"/>
      <c r="H1496" s="116"/>
      <c r="I1496" s="116"/>
      <c r="J1496" s="116"/>
    </row>
    <row r="1497" spans="1:10" ht="13.5" customHeight="1">
      <c r="A1497" s="2"/>
      <c r="B1497" s="116"/>
      <c r="C1497" s="116"/>
      <c r="D1497" s="116"/>
      <c r="E1497" s="116"/>
      <c r="F1497" s="116"/>
      <c r="G1497" s="116"/>
      <c r="H1497" s="116"/>
      <c r="I1497" s="116"/>
      <c r="J1497" s="116"/>
    </row>
    <row r="1498" spans="1:10" ht="13.5" customHeight="1">
      <c r="A1498" s="2"/>
      <c r="B1498" s="116"/>
      <c r="C1498" s="116"/>
      <c r="D1498" s="116"/>
      <c r="E1498" s="116"/>
      <c r="F1498" s="116"/>
      <c r="G1498" s="116"/>
      <c r="H1498" s="116"/>
      <c r="I1498" s="116"/>
      <c r="J1498" s="116"/>
    </row>
    <row r="1499" spans="1:10" ht="13.5" customHeight="1">
      <c r="A1499" s="2"/>
      <c r="B1499" s="116"/>
      <c r="C1499" s="116"/>
      <c r="D1499" s="116"/>
      <c r="E1499" s="116"/>
      <c r="F1499" s="116"/>
      <c r="G1499" s="116"/>
      <c r="H1499" s="116"/>
      <c r="I1499" s="116"/>
      <c r="J1499" s="116"/>
    </row>
    <row r="1500" spans="1:10" ht="13.5" customHeight="1">
      <c r="A1500" s="2"/>
      <c r="B1500" s="116"/>
      <c r="C1500" s="116"/>
      <c r="D1500" s="116"/>
      <c r="E1500" s="116"/>
      <c r="F1500" s="116"/>
      <c r="G1500" s="116"/>
      <c r="H1500" s="116"/>
      <c r="I1500" s="116"/>
      <c r="J1500" s="116"/>
    </row>
    <row r="1501" spans="1:10" ht="13.5" customHeight="1">
      <c r="A1501" s="2"/>
      <c r="B1501" s="116"/>
      <c r="C1501" s="116"/>
      <c r="D1501" s="116"/>
      <c r="E1501" s="116"/>
      <c r="F1501" s="116"/>
      <c r="G1501" s="116"/>
      <c r="H1501" s="116"/>
      <c r="I1501" s="116"/>
      <c r="J1501" s="116"/>
    </row>
    <row r="1502" spans="1:10" ht="13.5" customHeight="1">
      <c r="A1502" s="2"/>
      <c r="B1502" s="116"/>
      <c r="C1502" s="116"/>
      <c r="D1502" s="116"/>
      <c r="E1502" s="116"/>
      <c r="F1502" s="116"/>
      <c r="G1502" s="116"/>
      <c r="H1502" s="116"/>
      <c r="I1502" s="116"/>
      <c r="J1502" s="116"/>
    </row>
    <row r="1503" spans="1:10" ht="13.5" customHeight="1">
      <c r="A1503" s="2"/>
      <c r="B1503" s="116"/>
      <c r="C1503" s="116"/>
      <c r="D1503" s="116"/>
      <c r="E1503" s="116"/>
      <c r="F1503" s="116"/>
      <c r="G1503" s="116"/>
      <c r="H1503" s="116"/>
      <c r="I1503" s="116"/>
      <c r="J1503" s="116"/>
    </row>
    <row r="1504" spans="1:10" ht="13.5" customHeight="1">
      <c r="A1504" s="2"/>
      <c r="B1504" s="116"/>
      <c r="C1504" s="116"/>
      <c r="D1504" s="116"/>
      <c r="E1504" s="116"/>
      <c r="F1504" s="116"/>
      <c r="G1504" s="116"/>
      <c r="H1504" s="116"/>
      <c r="I1504" s="116"/>
      <c r="J1504" s="116"/>
    </row>
    <row r="1505" spans="1:10" ht="13.5" customHeight="1">
      <c r="A1505" s="2"/>
      <c r="B1505" s="116"/>
      <c r="C1505" s="116"/>
      <c r="D1505" s="116"/>
      <c r="E1505" s="116"/>
      <c r="F1505" s="116"/>
      <c r="G1505" s="116"/>
      <c r="H1505" s="116"/>
      <c r="I1505" s="116"/>
      <c r="J1505" s="116"/>
    </row>
    <row r="1506" spans="1:10" ht="13.5" customHeight="1">
      <c r="A1506" s="2"/>
      <c r="B1506" s="116"/>
      <c r="C1506" s="116"/>
      <c r="D1506" s="116"/>
      <c r="E1506" s="116"/>
      <c r="F1506" s="116"/>
      <c r="G1506" s="116"/>
      <c r="H1506" s="116"/>
      <c r="I1506" s="116"/>
      <c r="J1506" s="116"/>
    </row>
    <row r="1507" spans="1:10" ht="13.5" customHeight="1">
      <c r="A1507" s="2"/>
      <c r="B1507" s="116"/>
      <c r="C1507" s="116"/>
      <c r="D1507" s="116"/>
      <c r="E1507" s="116"/>
      <c r="F1507" s="116"/>
      <c r="G1507" s="116"/>
      <c r="H1507" s="116"/>
      <c r="I1507" s="116"/>
      <c r="J1507" s="116"/>
    </row>
    <row r="1508" spans="1:10" ht="13.5" customHeight="1">
      <c r="A1508" s="2"/>
      <c r="B1508" s="116"/>
      <c r="C1508" s="116"/>
      <c r="D1508" s="116"/>
      <c r="E1508" s="116"/>
      <c r="F1508" s="116"/>
      <c r="G1508" s="116"/>
      <c r="H1508" s="116"/>
      <c r="I1508" s="116"/>
      <c r="J1508" s="116"/>
    </row>
    <row r="1509" spans="1:10" ht="13.5" customHeight="1">
      <c r="A1509" s="2"/>
      <c r="B1509" s="116"/>
      <c r="C1509" s="116"/>
      <c r="D1509" s="116"/>
      <c r="E1509" s="116"/>
      <c r="F1509" s="116"/>
      <c r="G1509" s="116"/>
      <c r="H1509" s="116"/>
      <c r="I1509" s="116"/>
      <c r="J1509" s="116"/>
    </row>
    <row r="1510" spans="1:10" ht="13.5" customHeight="1">
      <c r="A1510" s="2"/>
      <c r="B1510" s="116"/>
      <c r="C1510" s="116"/>
      <c r="D1510" s="116"/>
      <c r="E1510" s="116"/>
      <c r="F1510" s="116"/>
      <c r="G1510" s="116"/>
      <c r="H1510" s="116"/>
      <c r="I1510" s="116"/>
      <c r="J1510" s="116"/>
    </row>
    <row r="1511" spans="1:10" ht="13.5" customHeight="1">
      <c r="A1511" s="2"/>
      <c r="B1511" s="116"/>
      <c r="C1511" s="116"/>
      <c r="D1511" s="116"/>
      <c r="E1511" s="116"/>
      <c r="F1511" s="116"/>
      <c r="G1511" s="116"/>
      <c r="H1511" s="116"/>
      <c r="I1511" s="116"/>
      <c r="J1511" s="116"/>
    </row>
    <row r="1512" spans="1:10" ht="13.5" customHeight="1">
      <c r="A1512" s="2"/>
      <c r="B1512" s="116"/>
      <c r="C1512" s="116"/>
      <c r="D1512" s="116"/>
      <c r="E1512" s="116"/>
      <c r="F1512" s="116"/>
      <c r="G1512" s="116"/>
      <c r="H1512" s="116"/>
      <c r="I1512" s="116"/>
      <c r="J1512" s="116"/>
    </row>
    <row r="1513" spans="1:10" ht="13.5" customHeight="1">
      <c r="A1513" s="2"/>
      <c r="B1513" s="116"/>
      <c r="C1513" s="116"/>
      <c r="D1513" s="116"/>
      <c r="E1513" s="116"/>
      <c r="F1513" s="116"/>
      <c r="G1513" s="116"/>
      <c r="H1513" s="116"/>
      <c r="I1513" s="116"/>
      <c r="J1513" s="116"/>
    </row>
    <row r="1514" spans="1:10" ht="13.5" customHeight="1">
      <c r="A1514" s="2"/>
      <c r="B1514" s="116"/>
      <c r="C1514" s="116"/>
      <c r="D1514" s="116"/>
      <c r="E1514" s="116"/>
      <c r="F1514" s="116"/>
      <c r="G1514" s="116"/>
      <c r="H1514" s="116"/>
      <c r="I1514" s="116"/>
      <c r="J1514" s="116"/>
    </row>
    <row r="1515" spans="1:10" ht="13.5" customHeight="1">
      <c r="A1515" s="2"/>
      <c r="B1515" s="116"/>
      <c r="C1515" s="116"/>
      <c r="D1515" s="116"/>
      <c r="E1515" s="116"/>
      <c r="F1515" s="116"/>
      <c r="G1515" s="116"/>
      <c r="H1515" s="116"/>
      <c r="I1515" s="116"/>
      <c r="J1515" s="116"/>
    </row>
    <row r="1516" spans="1:10" ht="13.5" customHeight="1">
      <c r="A1516" s="2"/>
      <c r="B1516" s="116"/>
      <c r="C1516" s="116"/>
      <c r="D1516" s="116"/>
      <c r="E1516" s="116"/>
      <c r="F1516" s="116"/>
      <c r="G1516" s="116"/>
      <c r="H1516" s="116"/>
      <c r="I1516" s="116"/>
      <c r="J1516" s="116"/>
    </row>
    <row r="1517" spans="1:10" ht="13.5" customHeight="1">
      <c r="A1517" s="2"/>
      <c r="B1517" s="116"/>
      <c r="C1517" s="116"/>
      <c r="D1517" s="116"/>
      <c r="E1517" s="116"/>
      <c r="F1517" s="116"/>
      <c r="G1517" s="116"/>
      <c r="H1517" s="116"/>
      <c r="I1517" s="116"/>
      <c r="J1517" s="116"/>
    </row>
    <row r="1518" spans="1:10" ht="13.5" customHeight="1">
      <c r="A1518" s="2"/>
      <c r="B1518" s="116"/>
      <c r="C1518" s="116"/>
      <c r="D1518" s="116"/>
      <c r="E1518" s="116"/>
      <c r="F1518" s="116"/>
      <c r="G1518" s="116"/>
      <c r="H1518" s="116"/>
      <c r="I1518" s="116"/>
      <c r="J1518" s="116"/>
    </row>
    <row r="1519" spans="1:10" ht="13.5" customHeight="1">
      <c r="A1519" s="2"/>
      <c r="B1519" s="116"/>
      <c r="C1519" s="116"/>
      <c r="D1519" s="116"/>
      <c r="E1519" s="116"/>
      <c r="F1519" s="116"/>
      <c r="G1519" s="116"/>
      <c r="H1519" s="116"/>
      <c r="I1519" s="116"/>
      <c r="J1519" s="116"/>
    </row>
    <row r="1520" spans="1:10" ht="13.5" customHeight="1">
      <c r="A1520" s="2"/>
      <c r="B1520" s="116"/>
      <c r="C1520" s="116"/>
      <c r="D1520" s="116"/>
      <c r="E1520" s="116"/>
      <c r="F1520" s="116"/>
      <c r="G1520" s="116"/>
      <c r="H1520" s="116"/>
      <c r="I1520" s="116"/>
      <c r="J1520" s="116"/>
    </row>
    <row r="1521" spans="1:10" ht="13.5" customHeight="1">
      <c r="A1521" s="2"/>
      <c r="B1521" s="116"/>
      <c r="C1521" s="116"/>
      <c r="D1521" s="116"/>
      <c r="E1521" s="116"/>
      <c r="F1521" s="116"/>
      <c r="G1521" s="116"/>
      <c r="H1521" s="116"/>
      <c r="I1521" s="116"/>
      <c r="J1521" s="116"/>
    </row>
    <row r="1522" spans="1:10" ht="13.5" customHeight="1">
      <c r="A1522" s="2"/>
      <c r="B1522" s="116"/>
      <c r="C1522" s="116"/>
      <c r="D1522" s="116"/>
      <c r="E1522" s="116"/>
      <c r="F1522" s="116"/>
      <c r="G1522" s="116"/>
      <c r="H1522" s="116"/>
      <c r="I1522" s="116"/>
      <c r="J1522" s="116"/>
    </row>
    <row r="1523" spans="1:10" ht="13.5" customHeight="1">
      <c r="A1523" s="2"/>
      <c r="B1523" s="116"/>
      <c r="C1523" s="116"/>
      <c r="D1523" s="116"/>
      <c r="E1523" s="116"/>
      <c r="F1523" s="116"/>
      <c r="G1523" s="116"/>
      <c r="H1523" s="116"/>
      <c r="I1523" s="116"/>
      <c r="J1523" s="116"/>
    </row>
    <row r="1524" spans="1:10" ht="13.5" customHeight="1">
      <c r="A1524" s="2"/>
      <c r="B1524" s="116"/>
      <c r="C1524" s="116"/>
      <c r="D1524" s="116"/>
      <c r="E1524" s="116"/>
      <c r="F1524" s="116"/>
      <c r="G1524" s="116"/>
      <c r="H1524" s="116"/>
      <c r="I1524" s="116"/>
      <c r="J1524" s="116"/>
    </row>
    <row r="1525" spans="1:10" ht="13.5" customHeight="1">
      <c r="A1525" s="2"/>
      <c r="B1525" s="116"/>
      <c r="C1525" s="116"/>
      <c r="D1525" s="116"/>
      <c r="E1525" s="116"/>
      <c r="F1525" s="116"/>
      <c r="G1525" s="116"/>
      <c r="H1525" s="116"/>
      <c r="I1525" s="116"/>
      <c r="J1525" s="116"/>
    </row>
    <row r="1526" spans="1:10" ht="13.5" customHeight="1">
      <c r="A1526" s="2"/>
      <c r="B1526" s="116"/>
      <c r="C1526" s="116"/>
      <c r="D1526" s="116"/>
      <c r="E1526" s="116"/>
      <c r="F1526" s="116"/>
      <c r="G1526" s="116"/>
      <c r="H1526" s="116"/>
      <c r="I1526" s="116"/>
      <c r="J1526" s="116"/>
    </row>
    <row r="1527" spans="1:10" ht="13.5" customHeight="1">
      <c r="A1527" s="2"/>
      <c r="B1527" s="116"/>
      <c r="C1527" s="116"/>
      <c r="D1527" s="116"/>
      <c r="E1527" s="116"/>
      <c r="F1527" s="116"/>
      <c r="G1527" s="116"/>
      <c r="H1527" s="116"/>
      <c r="I1527" s="116"/>
      <c r="J1527" s="116"/>
    </row>
    <row r="1528" spans="1:10" ht="13.5" customHeight="1">
      <c r="A1528" s="2"/>
      <c r="B1528" s="116"/>
      <c r="C1528" s="116"/>
      <c r="D1528" s="116"/>
      <c r="E1528" s="116"/>
      <c r="F1528" s="116"/>
      <c r="G1528" s="116"/>
      <c r="H1528" s="116"/>
      <c r="I1528" s="116"/>
      <c r="J1528" s="116"/>
    </row>
    <row r="1529" spans="1:10" ht="13.5" customHeight="1">
      <c r="A1529" s="2"/>
      <c r="B1529" s="116"/>
      <c r="C1529" s="116"/>
      <c r="D1529" s="116"/>
      <c r="E1529" s="116"/>
      <c r="F1529" s="116"/>
      <c r="G1529" s="116"/>
      <c r="H1529" s="116"/>
      <c r="I1529" s="116"/>
      <c r="J1529" s="116"/>
    </row>
    <row r="1530" spans="1:10" ht="13.5" customHeight="1">
      <c r="A1530" s="2"/>
      <c r="B1530" s="116"/>
      <c r="C1530" s="116"/>
      <c r="D1530" s="116"/>
      <c r="E1530" s="116"/>
      <c r="F1530" s="116"/>
      <c r="G1530" s="116"/>
      <c r="H1530" s="116"/>
      <c r="I1530" s="116"/>
      <c r="J1530" s="116"/>
    </row>
    <row r="1531" spans="1:10" ht="13.5" customHeight="1">
      <c r="A1531" s="2"/>
      <c r="B1531" s="116"/>
      <c r="C1531" s="116"/>
      <c r="D1531" s="116"/>
      <c r="E1531" s="116"/>
      <c r="F1531" s="116"/>
      <c r="G1531" s="116"/>
      <c r="H1531" s="116"/>
      <c r="I1531" s="116"/>
      <c r="J1531" s="116"/>
    </row>
    <row r="1532" spans="1:10" ht="13.5" customHeight="1">
      <c r="A1532" s="2"/>
      <c r="B1532" s="116"/>
      <c r="C1532" s="116"/>
      <c r="D1532" s="116"/>
      <c r="E1532" s="116"/>
      <c r="F1532" s="116"/>
      <c r="G1532" s="116"/>
      <c r="H1532" s="116"/>
      <c r="I1532" s="116"/>
      <c r="J1532" s="116"/>
    </row>
    <row r="1533" spans="1:10" ht="13.5" customHeight="1">
      <c r="A1533" s="2"/>
      <c r="B1533" s="116"/>
      <c r="C1533" s="116"/>
      <c r="D1533" s="116"/>
      <c r="E1533" s="116"/>
      <c r="F1533" s="116"/>
      <c r="G1533" s="116"/>
      <c r="H1533" s="116"/>
      <c r="I1533" s="116"/>
      <c r="J1533" s="116"/>
    </row>
    <row r="1534" spans="1:10" ht="13.5" customHeight="1">
      <c r="A1534" s="2"/>
      <c r="B1534" s="116"/>
      <c r="C1534" s="116"/>
      <c r="D1534" s="116"/>
      <c r="E1534" s="116"/>
      <c r="F1534" s="116"/>
      <c r="G1534" s="116"/>
      <c r="H1534" s="116"/>
      <c r="I1534" s="116"/>
      <c r="J1534" s="116"/>
    </row>
    <row r="1535" spans="1:10" ht="13.5" customHeight="1">
      <c r="A1535" s="2"/>
      <c r="B1535" s="116"/>
      <c r="C1535" s="116"/>
      <c r="D1535" s="116"/>
      <c r="E1535" s="116"/>
      <c r="F1535" s="116"/>
      <c r="G1535" s="116"/>
      <c r="H1535" s="116"/>
      <c r="I1535" s="116"/>
      <c r="J1535" s="116"/>
    </row>
    <row r="1536" spans="1:10" ht="13.5" customHeight="1">
      <c r="A1536" s="2"/>
      <c r="B1536" s="116"/>
      <c r="C1536" s="116"/>
      <c r="D1536" s="116"/>
      <c r="E1536" s="116"/>
      <c r="F1536" s="116"/>
      <c r="G1536" s="116"/>
      <c r="H1536" s="116"/>
      <c r="I1536" s="116"/>
      <c r="J1536" s="116"/>
    </row>
    <row r="1537" spans="1:10" ht="13.5" customHeight="1">
      <c r="A1537" s="2"/>
      <c r="B1537" s="116"/>
      <c r="C1537" s="116"/>
      <c r="D1537" s="116"/>
      <c r="E1537" s="116"/>
      <c r="F1537" s="116"/>
      <c r="G1537" s="116"/>
      <c r="H1537" s="116"/>
      <c r="I1537" s="116"/>
      <c r="J1537" s="116"/>
    </row>
    <row r="1538" spans="1:10" ht="13.5" customHeight="1">
      <c r="A1538" s="2"/>
      <c r="B1538" s="116"/>
      <c r="C1538" s="116"/>
      <c r="D1538" s="116"/>
      <c r="E1538" s="116"/>
      <c r="F1538" s="116"/>
      <c r="G1538" s="116"/>
      <c r="H1538" s="116"/>
      <c r="I1538" s="116"/>
      <c r="J1538" s="116"/>
    </row>
    <row r="1539" spans="1:10" ht="13.5" customHeight="1">
      <c r="A1539" s="2"/>
      <c r="B1539" s="116"/>
      <c r="C1539" s="116"/>
      <c r="D1539" s="116"/>
      <c r="E1539" s="116"/>
      <c r="F1539" s="116"/>
      <c r="G1539" s="116"/>
      <c r="H1539" s="116"/>
      <c r="I1539" s="116"/>
      <c r="J1539" s="116"/>
    </row>
    <row r="1540" spans="1:10" ht="13.5" customHeight="1">
      <c r="A1540" s="2"/>
      <c r="B1540" s="116"/>
      <c r="C1540" s="116"/>
      <c r="D1540" s="116"/>
      <c r="E1540" s="116"/>
      <c r="F1540" s="116"/>
      <c r="G1540" s="116"/>
      <c r="H1540" s="116"/>
      <c r="I1540" s="116"/>
      <c r="J1540" s="116"/>
    </row>
    <row r="1541" spans="1:10" ht="13.5" customHeight="1">
      <c r="A1541" s="2"/>
      <c r="B1541" s="116"/>
      <c r="C1541" s="116"/>
      <c r="D1541" s="116"/>
      <c r="E1541" s="116"/>
      <c r="F1541" s="116"/>
      <c r="G1541" s="116"/>
      <c r="H1541" s="116"/>
      <c r="I1541" s="116"/>
      <c r="J1541" s="116"/>
    </row>
    <row r="1542" spans="1:10" ht="13.5" customHeight="1">
      <c r="A1542" s="2"/>
      <c r="B1542" s="116"/>
      <c r="C1542" s="116"/>
      <c r="D1542" s="116"/>
      <c r="E1542" s="116"/>
      <c r="F1542" s="116"/>
      <c r="G1542" s="116"/>
      <c r="H1542" s="116"/>
      <c r="I1542" s="116"/>
      <c r="J1542" s="116"/>
    </row>
    <row r="1543" spans="1:10" ht="13.5" customHeight="1">
      <c r="A1543" s="2"/>
      <c r="B1543" s="116"/>
      <c r="C1543" s="116"/>
      <c r="D1543" s="116"/>
      <c r="E1543" s="116"/>
      <c r="F1543" s="116"/>
      <c r="G1543" s="116"/>
      <c r="H1543" s="116"/>
      <c r="I1543" s="116"/>
      <c r="J1543" s="116"/>
    </row>
    <row r="1544" spans="1:10" ht="13.5" customHeight="1">
      <c r="A1544" s="2"/>
      <c r="B1544" s="116"/>
      <c r="C1544" s="116"/>
      <c r="D1544" s="116"/>
      <c r="E1544" s="116"/>
      <c r="F1544" s="116"/>
      <c r="G1544" s="116"/>
      <c r="H1544" s="116"/>
      <c r="I1544" s="116"/>
      <c r="J1544" s="116"/>
    </row>
    <row r="1545" spans="1:10" ht="13.5" customHeight="1">
      <c r="A1545" s="2"/>
      <c r="B1545" s="116"/>
      <c r="C1545" s="116"/>
      <c r="D1545" s="116"/>
      <c r="E1545" s="116"/>
      <c r="F1545" s="116"/>
      <c r="G1545" s="116"/>
      <c r="H1545" s="116"/>
      <c r="I1545" s="116"/>
      <c r="J1545" s="116"/>
    </row>
    <row r="1546" spans="1:10" ht="13.5" customHeight="1">
      <c r="A1546" s="2"/>
      <c r="B1546" s="116"/>
      <c r="C1546" s="116"/>
      <c r="D1546" s="116"/>
      <c r="E1546" s="116"/>
      <c r="F1546" s="116"/>
      <c r="G1546" s="116"/>
      <c r="H1546" s="116"/>
      <c r="I1546" s="116"/>
      <c r="J1546" s="116"/>
    </row>
    <row r="1547" spans="1:10" ht="13.5" customHeight="1">
      <c r="A1547" s="2"/>
      <c r="B1547" s="116"/>
      <c r="C1547" s="116"/>
      <c r="D1547" s="116"/>
      <c r="E1547" s="116"/>
      <c r="F1547" s="116"/>
      <c r="G1547" s="116"/>
      <c r="H1547" s="116"/>
      <c r="I1547" s="116"/>
      <c r="J1547" s="116"/>
    </row>
    <row r="1548" spans="1:10" ht="13.5" customHeight="1">
      <c r="A1548" s="2"/>
      <c r="B1548" s="116"/>
      <c r="C1548" s="116"/>
      <c r="D1548" s="116"/>
      <c r="E1548" s="116"/>
      <c r="F1548" s="116"/>
      <c r="G1548" s="116"/>
      <c r="H1548" s="116"/>
      <c r="I1548" s="116"/>
      <c r="J1548" s="116"/>
    </row>
    <row r="1549" spans="1:10" ht="13.5" customHeight="1">
      <c r="A1549" s="2"/>
      <c r="B1549" s="116"/>
      <c r="C1549" s="116"/>
      <c r="D1549" s="116"/>
      <c r="E1549" s="116"/>
      <c r="F1549" s="116"/>
      <c r="G1549" s="116"/>
      <c r="H1549" s="116"/>
      <c r="I1549" s="116"/>
      <c r="J1549" s="116"/>
    </row>
    <row r="1550" spans="1:10" ht="13.5" customHeight="1">
      <c r="A1550" s="2"/>
      <c r="B1550" s="116"/>
      <c r="C1550" s="116"/>
      <c r="D1550" s="116"/>
      <c r="E1550" s="116"/>
      <c r="F1550" s="116"/>
      <c r="G1550" s="116"/>
      <c r="H1550" s="116"/>
      <c r="I1550" s="116"/>
      <c r="J1550" s="116"/>
    </row>
    <row r="1551" spans="1:10" ht="13.5" customHeight="1">
      <c r="A1551" s="2"/>
      <c r="B1551" s="116"/>
      <c r="C1551" s="116"/>
      <c r="D1551" s="116"/>
      <c r="E1551" s="116"/>
      <c r="F1551" s="116"/>
      <c r="G1551" s="116"/>
      <c r="H1551" s="116"/>
      <c r="I1551" s="116"/>
      <c r="J1551" s="116"/>
    </row>
    <row r="1552" spans="1:10" ht="13.5" customHeight="1">
      <c r="A1552" s="2"/>
      <c r="B1552" s="116"/>
      <c r="C1552" s="116"/>
      <c r="D1552" s="116"/>
      <c r="E1552" s="116"/>
      <c r="F1552" s="116"/>
      <c r="G1552" s="116"/>
      <c r="H1552" s="116"/>
      <c r="I1552" s="116"/>
      <c r="J1552" s="116"/>
    </row>
    <row r="1553" spans="1:10" ht="13.5" customHeight="1">
      <c r="A1553" s="2"/>
      <c r="B1553" s="116"/>
      <c r="C1553" s="116"/>
      <c r="D1553" s="116"/>
      <c r="E1553" s="116"/>
      <c r="F1553" s="116"/>
      <c r="G1553" s="116"/>
      <c r="H1553" s="116"/>
      <c r="I1553" s="116"/>
      <c r="J1553" s="116"/>
    </row>
    <row r="1554" spans="1:10" ht="13.5" customHeight="1">
      <c r="A1554" s="2"/>
      <c r="B1554" s="116"/>
      <c r="C1554" s="116"/>
      <c r="D1554" s="116"/>
      <c r="E1554" s="116"/>
      <c r="F1554" s="116"/>
      <c r="G1554" s="116"/>
      <c r="H1554" s="116"/>
      <c r="I1554" s="116"/>
      <c r="J1554" s="116"/>
    </row>
    <row r="1555" spans="1:10" ht="13.5" customHeight="1">
      <c r="A1555" s="2"/>
      <c r="B1555" s="116"/>
      <c r="C1555" s="116"/>
      <c r="D1555" s="116"/>
      <c r="E1555" s="116"/>
      <c r="F1555" s="116"/>
      <c r="G1555" s="116"/>
      <c r="H1555" s="116"/>
      <c r="I1555" s="116"/>
      <c r="J1555" s="116"/>
    </row>
    <row r="1556" spans="1:10" ht="13.5" customHeight="1">
      <c r="A1556" s="2"/>
      <c r="B1556" s="116"/>
      <c r="C1556" s="116"/>
      <c r="D1556" s="116"/>
      <c r="E1556" s="116"/>
      <c r="F1556" s="116"/>
      <c r="G1556" s="116"/>
      <c r="H1556" s="116"/>
      <c r="I1556" s="116"/>
      <c r="J1556" s="116"/>
    </row>
    <row r="1557" spans="1:10" ht="13.5" customHeight="1">
      <c r="A1557" s="2"/>
      <c r="B1557" s="116"/>
      <c r="C1557" s="116"/>
      <c r="D1557" s="116"/>
      <c r="E1557" s="116"/>
      <c r="F1557" s="116"/>
      <c r="G1557" s="116"/>
      <c r="H1557" s="116"/>
      <c r="I1557" s="116"/>
      <c r="J1557" s="116"/>
    </row>
    <row r="1558" spans="1:10" ht="13.5" customHeight="1">
      <c r="A1558" s="2"/>
      <c r="B1558" s="116"/>
      <c r="C1558" s="116"/>
      <c r="D1558" s="116"/>
      <c r="E1558" s="116"/>
      <c r="F1558" s="116"/>
      <c r="G1558" s="116"/>
      <c r="H1558" s="116"/>
      <c r="I1558" s="116"/>
      <c r="J1558" s="116"/>
    </row>
    <row r="1559" spans="1:10" ht="13.5" customHeight="1">
      <c r="A1559" s="2"/>
      <c r="B1559" s="116"/>
      <c r="C1559" s="116"/>
      <c r="D1559" s="116"/>
      <c r="E1559" s="116"/>
      <c r="F1559" s="116"/>
      <c r="G1559" s="116"/>
      <c r="H1559" s="116"/>
      <c r="I1559" s="116"/>
      <c r="J1559" s="116"/>
    </row>
    <row r="1560" spans="1:10" ht="13.5" customHeight="1">
      <c r="A1560" s="2"/>
      <c r="B1560" s="116"/>
      <c r="C1560" s="116"/>
      <c r="D1560" s="116"/>
      <c r="E1560" s="116"/>
      <c r="F1560" s="116"/>
      <c r="G1560" s="116"/>
      <c r="H1560" s="116"/>
      <c r="I1560" s="116"/>
      <c r="J1560" s="116"/>
    </row>
    <row r="1561" spans="1:10" ht="13.5" customHeight="1">
      <c r="A1561" s="2"/>
      <c r="B1561" s="116"/>
      <c r="C1561" s="116"/>
      <c r="D1561" s="116"/>
      <c r="E1561" s="116"/>
      <c r="F1561" s="116"/>
      <c r="G1561" s="116"/>
      <c r="H1561" s="116"/>
      <c r="I1561" s="116"/>
      <c r="J1561" s="116"/>
    </row>
    <row r="1562" spans="1:10" ht="13.5" customHeight="1">
      <c r="A1562" s="2"/>
      <c r="B1562" s="116"/>
      <c r="C1562" s="116"/>
      <c r="D1562" s="116"/>
      <c r="E1562" s="116"/>
      <c r="F1562" s="116"/>
      <c r="G1562" s="116"/>
      <c r="H1562" s="116"/>
      <c r="I1562" s="116"/>
      <c r="J1562" s="116"/>
    </row>
    <row r="1563" spans="1:10" ht="13.5" customHeight="1">
      <c r="A1563" s="2"/>
      <c r="B1563" s="116"/>
      <c r="C1563" s="116"/>
      <c r="D1563" s="116"/>
      <c r="E1563" s="116"/>
      <c r="F1563" s="116"/>
      <c r="G1563" s="116"/>
      <c r="H1563" s="116"/>
      <c r="I1563" s="116"/>
      <c r="J1563" s="116"/>
    </row>
    <row r="1564" spans="1:10" ht="13.5" customHeight="1">
      <c r="A1564" s="2"/>
      <c r="B1564" s="116"/>
      <c r="C1564" s="116"/>
      <c r="D1564" s="116"/>
      <c r="E1564" s="116"/>
      <c r="F1564" s="116"/>
      <c r="G1564" s="116"/>
      <c r="H1564" s="116"/>
      <c r="I1564" s="116"/>
      <c r="J1564" s="116"/>
    </row>
    <row r="1565" spans="1:10" ht="13.5" customHeight="1">
      <c r="A1565" s="2"/>
      <c r="B1565" s="116"/>
      <c r="C1565" s="116"/>
      <c r="D1565" s="116"/>
      <c r="E1565" s="116"/>
      <c r="F1565" s="116"/>
      <c r="G1565" s="116"/>
      <c r="H1565" s="116"/>
      <c r="I1565" s="116"/>
      <c r="J1565" s="116"/>
    </row>
    <row r="1566" spans="1:10" ht="13.5" customHeight="1">
      <c r="A1566" s="2"/>
      <c r="B1566" s="116"/>
      <c r="C1566" s="116"/>
      <c r="D1566" s="116"/>
      <c r="E1566" s="116"/>
      <c r="F1566" s="116"/>
      <c r="G1566" s="116"/>
      <c r="H1566" s="116"/>
      <c r="I1566" s="116"/>
      <c r="J1566" s="116"/>
    </row>
    <row r="1567" spans="1:10" ht="13.5" customHeight="1">
      <c r="A1567" s="2"/>
      <c r="B1567" s="116"/>
      <c r="C1567" s="116"/>
      <c r="D1567" s="116"/>
      <c r="E1567" s="116"/>
      <c r="F1567" s="116"/>
      <c r="G1567" s="116"/>
      <c r="H1567" s="116"/>
      <c r="I1567" s="116"/>
      <c r="J1567" s="116"/>
    </row>
    <row r="1568" spans="1:10" ht="13.5" customHeight="1">
      <c r="A1568" s="2"/>
      <c r="B1568" s="116"/>
      <c r="C1568" s="116"/>
      <c r="D1568" s="116"/>
      <c r="E1568" s="116"/>
      <c r="F1568" s="116"/>
      <c r="G1568" s="116"/>
      <c r="H1568" s="116"/>
      <c r="I1568" s="116"/>
      <c r="J1568" s="116"/>
    </row>
    <row r="1569" spans="1:10" ht="13.5" customHeight="1">
      <c r="A1569" s="2"/>
      <c r="B1569" s="116"/>
      <c r="C1569" s="116"/>
      <c r="D1569" s="116"/>
      <c r="E1569" s="116"/>
      <c r="F1569" s="116"/>
      <c r="G1569" s="116"/>
      <c r="H1569" s="116"/>
      <c r="I1569" s="116"/>
      <c r="J1569" s="116"/>
    </row>
    <row r="1570" spans="1:10" ht="13.5" customHeight="1">
      <c r="A1570" s="2"/>
      <c r="B1570" s="116"/>
      <c r="C1570" s="116"/>
      <c r="D1570" s="116"/>
      <c r="E1570" s="116"/>
      <c r="F1570" s="116"/>
      <c r="G1570" s="116"/>
      <c r="H1570" s="116"/>
      <c r="I1570" s="116"/>
      <c r="J1570" s="116"/>
    </row>
    <row r="1571" spans="1:10" ht="13.5" customHeight="1">
      <c r="A1571" s="2"/>
      <c r="B1571" s="116"/>
      <c r="C1571" s="116"/>
      <c r="D1571" s="116"/>
      <c r="E1571" s="116"/>
      <c r="F1571" s="116"/>
      <c r="G1571" s="116"/>
      <c r="H1571" s="116"/>
      <c r="I1571" s="116"/>
      <c r="J1571" s="116"/>
    </row>
    <row r="1572" spans="1:10" ht="13.5" customHeight="1">
      <c r="A1572" s="2"/>
      <c r="B1572" s="116"/>
      <c r="C1572" s="116"/>
      <c r="D1572" s="116"/>
      <c r="E1572" s="116"/>
      <c r="F1572" s="116"/>
      <c r="G1572" s="116"/>
      <c r="H1572" s="116"/>
      <c r="I1572" s="116"/>
      <c r="J1572" s="116"/>
    </row>
    <row r="1573" spans="1:10" ht="13.5" customHeight="1">
      <c r="A1573" s="2"/>
      <c r="B1573" s="116"/>
      <c r="C1573" s="116"/>
      <c r="D1573" s="116"/>
      <c r="E1573" s="116"/>
      <c r="F1573" s="116"/>
      <c r="G1573" s="116"/>
      <c r="H1573" s="116"/>
      <c r="I1573" s="116"/>
      <c r="J1573" s="116"/>
    </row>
    <row r="1574" spans="1:10" ht="13.5" customHeight="1">
      <c r="A1574" s="2"/>
      <c r="B1574" s="116"/>
      <c r="C1574" s="116"/>
      <c r="D1574" s="116"/>
      <c r="E1574" s="116"/>
      <c r="F1574" s="116"/>
      <c r="G1574" s="116"/>
      <c r="H1574" s="116"/>
      <c r="I1574" s="116"/>
      <c r="J1574" s="116"/>
    </row>
    <row r="1575" spans="1:10" ht="13.5" customHeight="1">
      <c r="A1575" s="2"/>
      <c r="B1575" s="116"/>
      <c r="C1575" s="116"/>
      <c r="D1575" s="116"/>
      <c r="E1575" s="116"/>
      <c r="F1575" s="116"/>
      <c r="G1575" s="116"/>
      <c r="H1575" s="116"/>
      <c r="I1575" s="116"/>
      <c r="J1575" s="116"/>
    </row>
    <row r="1576" spans="1:10" ht="13.5" customHeight="1">
      <c r="A1576" s="2"/>
      <c r="B1576" s="116"/>
      <c r="C1576" s="116"/>
      <c r="D1576" s="116"/>
      <c r="E1576" s="116"/>
      <c r="F1576" s="116"/>
      <c r="G1576" s="116"/>
      <c r="H1576" s="116"/>
      <c r="I1576" s="116"/>
      <c r="J1576" s="116"/>
    </row>
    <row r="1577" spans="1:10" ht="13.5" customHeight="1">
      <c r="A1577" s="2"/>
      <c r="B1577" s="116"/>
      <c r="C1577" s="116"/>
      <c r="D1577" s="116"/>
      <c r="E1577" s="116"/>
      <c r="F1577" s="116"/>
      <c r="G1577" s="116"/>
      <c r="H1577" s="116"/>
      <c r="I1577" s="116"/>
      <c r="J1577" s="116"/>
    </row>
    <row r="1578" spans="1:10" ht="13.5" customHeight="1">
      <c r="A1578" s="2"/>
      <c r="B1578" s="116"/>
      <c r="C1578" s="116"/>
      <c r="D1578" s="116"/>
      <c r="E1578" s="116"/>
      <c r="F1578" s="116"/>
      <c r="G1578" s="116"/>
      <c r="H1578" s="116"/>
      <c r="I1578" s="116"/>
      <c r="J1578" s="116"/>
    </row>
    <row r="1579" spans="1:10" ht="13.5" customHeight="1">
      <c r="A1579" s="2"/>
      <c r="B1579" s="116"/>
      <c r="C1579" s="116"/>
      <c r="D1579" s="116"/>
      <c r="E1579" s="116"/>
      <c r="F1579" s="116"/>
      <c r="G1579" s="116"/>
      <c r="H1579" s="116"/>
      <c r="I1579" s="116"/>
      <c r="J1579" s="116"/>
    </row>
    <row r="1580" spans="1:10" ht="13.5" customHeight="1">
      <c r="A1580" s="2"/>
      <c r="B1580" s="116"/>
      <c r="C1580" s="116"/>
      <c r="D1580" s="116"/>
      <c r="E1580" s="116"/>
      <c r="F1580" s="116"/>
      <c r="G1580" s="116"/>
      <c r="H1580" s="116"/>
      <c r="I1580" s="116"/>
      <c r="J1580" s="116"/>
    </row>
    <row r="1581" spans="1:10" ht="13.5" customHeight="1">
      <c r="A1581" s="2"/>
      <c r="B1581" s="116"/>
      <c r="C1581" s="116"/>
      <c r="D1581" s="116"/>
      <c r="E1581" s="116"/>
      <c r="F1581" s="116"/>
      <c r="G1581" s="116"/>
      <c r="H1581" s="116"/>
      <c r="I1581" s="116"/>
      <c r="J1581" s="116"/>
    </row>
    <row r="1582" spans="1:10" ht="13.5" customHeight="1">
      <c r="A1582" s="2"/>
      <c r="B1582" s="116"/>
      <c r="C1582" s="116"/>
      <c r="D1582" s="116"/>
      <c r="E1582" s="116"/>
      <c r="F1582" s="116"/>
      <c r="G1582" s="116"/>
      <c r="H1582" s="116"/>
      <c r="I1582" s="116"/>
      <c r="J1582" s="116"/>
    </row>
    <row r="1583" spans="1:10" ht="13.5" customHeight="1">
      <c r="A1583" s="2"/>
      <c r="B1583" s="116"/>
      <c r="C1583" s="116"/>
      <c r="D1583" s="116"/>
      <c r="E1583" s="116"/>
      <c r="F1583" s="116"/>
      <c r="G1583" s="116"/>
      <c r="H1583" s="116"/>
      <c r="I1583" s="116"/>
      <c r="J1583" s="116"/>
    </row>
    <row r="1584" spans="1:10" ht="13.5" customHeight="1">
      <c r="A1584" s="2"/>
      <c r="B1584" s="116"/>
      <c r="C1584" s="116"/>
      <c r="D1584" s="116"/>
      <c r="E1584" s="116"/>
      <c r="F1584" s="116"/>
      <c r="G1584" s="116"/>
      <c r="H1584" s="116"/>
      <c r="I1584" s="116"/>
      <c r="J1584" s="116"/>
    </row>
    <row r="1585" spans="1:10" ht="13.5" customHeight="1">
      <c r="A1585" s="2"/>
      <c r="B1585" s="116"/>
      <c r="C1585" s="116"/>
      <c r="D1585" s="116"/>
      <c r="E1585" s="116"/>
      <c r="F1585" s="116"/>
      <c r="G1585" s="116"/>
      <c r="H1585" s="116"/>
      <c r="I1585" s="116"/>
      <c r="J1585" s="116"/>
    </row>
    <row r="1586" spans="1:10" ht="13.5" customHeight="1">
      <c r="A1586" s="2"/>
      <c r="B1586" s="116"/>
      <c r="C1586" s="116"/>
      <c r="D1586" s="116"/>
      <c r="E1586" s="116"/>
      <c r="F1586" s="116"/>
      <c r="G1586" s="116"/>
      <c r="H1586" s="116"/>
      <c r="I1586" s="116"/>
      <c r="J1586" s="116"/>
    </row>
    <row r="1587" spans="1:10" ht="13.5" customHeight="1">
      <c r="A1587" s="2"/>
      <c r="B1587" s="116"/>
      <c r="C1587" s="116"/>
      <c r="D1587" s="116"/>
      <c r="E1587" s="116"/>
      <c r="F1587" s="116"/>
      <c r="G1587" s="116"/>
      <c r="H1587" s="116"/>
      <c r="I1587" s="116"/>
      <c r="J1587" s="116"/>
    </row>
    <row r="1588" spans="1:10" ht="13.5" customHeight="1">
      <c r="A1588" s="2"/>
      <c r="B1588" s="116"/>
      <c r="C1588" s="116"/>
      <c r="D1588" s="116"/>
      <c r="E1588" s="116"/>
      <c r="F1588" s="116"/>
      <c r="G1588" s="116"/>
      <c r="H1588" s="116"/>
      <c r="I1588" s="116"/>
      <c r="J1588" s="116"/>
    </row>
    <row r="1589" spans="1:10" ht="13.5" customHeight="1">
      <c r="A1589" s="2"/>
      <c r="B1589" s="116"/>
      <c r="C1589" s="116"/>
      <c r="D1589" s="116"/>
      <c r="E1589" s="116"/>
      <c r="F1589" s="116"/>
      <c r="G1589" s="116"/>
      <c r="H1589" s="116"/>
      <c r="I1589" s="116"/>
      <c r="J1589" s="116"/>
    </row>
    <row r="1590" spans="1:10" ht="13.5" customHeight="1">
      <c r="A1590" s="2"/>
      <c r="B1590" s="116"/>
      <c r="C1590" s="116"/>
      <c r="D1590" s="116"/>
      <c r="E1590" s="116"/>
      <c r="F1590" s="116"/>
      <c r="G1590" s="116"/>
      <c r="H1590" s="116"/>
      <c r="I1590" s="116"/>
      <c r="J1590" s="116"/>
    </row>
    <row r="1591" spans="1:10" ht="13.5" customHeight="1">
      <c r="A1591" s="2"/>
      <c r="B1591" s="116"/>
      <c r="C1591" s="116"/>
      <c r="D1591" s="116"/>
      <c r="E1591" s="116"/>
      <c r="F1591" s="116"/>
      <c r="G1591" s="116"/>
      <c r="H1591" s="116"/>
      <c r="I1591" s="116"/>
      <c r="J1591" s="116"/>
    </row>
    <row r="1592" spans="1:10" ht="13.5" customHeight="1">
      <c r="A1592" s="2"/>
      <c r="B1592" s="116"/>
      <c r="C1592" s="116"/>
      <c r="D1592" s="116"/>
      <c r="E1592" s="116"/>
      <c r="F1592" s="116"/>
      <c r="G1592" s="116"/>
      <c r="H1592" s="116"/>
      <c r="I1592" s="116"/>
      <c r="J1592" s="116"/>
    </row>
    <row r="1593" spans="1:10" ht="13.5" customHeight="1">
      <c r="A1593" s="2"/>
      <c r="B1593" s="116"/>
      <c r="C1593" s="116"/>
      <c r="D1593" s="116"/>
      <c r="E1593" s="116"/>
      <c r="F1593" s="116"/>
      <c r="G1593" s="116"/>
      <c r="H1593" s="116"/>
      <c r="I1593" s="116"/>
      <c r="J1593" s="116"/>
    </row>
    <row r="1594" spans="1:10" ht="13.5" customHeight="1">
      <c r="A1594" s="2"/>
      <c r="B1594" s="116"/>
      <c r="C1594" s="116"/>
      <c r="D1594" s="116"/>
      <c r="E1594" s="116"/>
      <c r="F1594" s="116"/>
      <c r="G1594" s="116"/>
      <c r="H1594" s="116"/>
      <c r="I1594" s="116"/>
      <c r="J1594" s="116"/>
    </row>
    <row r="1595" spans="1:10" ht="13.5" customHeight="1">
      <c r="A1595" s="2"/>
      <c r="B1595" s="116"/>
      <c r="C1595" s="116"/>
      <c r="D1595" s="116"/>
      <c r="E1595" s="116"/>
      <c r="F1595" s="116"/>
      <c r="G1595" s="116"/>
      <c r="H1595" s="116"/>
      <c r="I1595" s="116"/>
      <c r="J1595" s="116"/>
    </row>
    <row r="1596" spans="1:10" ht="13.5" customHeight="1">
      <c r="A1596" s="2"/>
      <c r="B1596" s="116"/>
      <c r="C1596" s="116"/>
      <c r="D1596" s="116"/>
      <c r="E1596" s="116"/>
      <c r="F1596" s="116"/>
      <c r="G1596" s="116"/>
      <c r="H1596" s="116"/>
      <c r="I1596" s="116"/>
      <c r="J1596" s="116"/>
    </row>
    <row r="1597" spans="1:10" ht="13.5" customHeight="1">
      <c r="A1597" s="2"/>
      <c r="B1597" s="116"/>
      <c r="C1597" s="116"/>
      <c r="D1597" s="116"/>
      <c r="E1597" s="116"/>
      <c r="F1597" s="116"/>
      <c r="G1597" s="116"/>
      <c r="H1597" s="116"/>
      <c r="I1597" s="116"/>
      <c r="J1597" s="116"/>
    </row>
    <row r="1598" spans="1:10" ht="13.5" customHeight="1">
      <c r="A1598" s="2"/>
      <c r="B1598" s="116"/>
      <c r="C1598" s="116"/>
      <c r="D1598" s="116"/>
      <c r="E1598" s="116"/>
      <c r="F1598" s="116"/>
      <c r="G1598" s="116"/>
      <c r="H1598" s="116"/>
      <c r="I1598" s="116"/>
      <c r="J1598" s="116"/>
    </row>
    <row r="1599" spans="1:10" ht="13.5" customHeight="1">
      <c r="A1599" s="2"/>
      <c r="B1599" s="116"/>
      <c r="C1599" s="116"/>
      <c r="D1599" s="116"/>
      <c r="E1599" s="116"/>
      <c r="F1599" s="116"/>
      <c r="G1599" s="116"/>
      <c r="H1599" s="116"/>
      <c r="I1599" s="116"/>
      <c r="J1599" s="116"/>
    </row>
    <row r="1600" spans="1:10" ht="13.5" customHeight="1">
      <c r="A1600" s="2"/>
      <c r="B1600" s="116"/>
      <c r="C1600" s="116"/>
      <c r="D1600" s="116"/>
      <c r="E1600" s="116"/>
      <c r="F1600" s="116"/>
      <c r="G1600" s="116"/>
      <c r="H1600" s="116"/>
      <c r="I1600" s="116"/>
      <c r="J1600" s="116"/>
    </row>
    <row r="1601" spans="1:10" ht="13.5" customHeight="1">
      <c r="A1601" s="2"/>
      <c r="B1601" s="116"/>
      <c r="C1601" s="116"/>
      <c r="D1601" s="116"/>
      <c r="E1601" s="116"/>
      <c r="F1601" s="116"/>
      <c r="G1601" s="116"/>
      <c r="H1601" s="116"/>
      <c r="I1601" s="116"/>
      <c r="J1601" s="116"/>
    </row>
    <row r="1602" spans="1:10" ht="13.5" customHeight="1">
      <c r="A1602" s="2"/>
      <c r="B1602" s="116"/>
      <c r="C1602" s="116"/>
      <c r="D1602" s="116"/>
      <c r="E1602" s="116"/>
      <c r="F1602" s="116"/>
      <c r="G1602" s="116"/>
      <c r="H1602" s="116"/>
      <c r="I1602" s="116"/>
      <c r="J1602" s="116"/>
    </row>
    <row r="1603" spans="1:10" ht="13.5" customHeight="1">
      <c r="A1603" s="2"/>
      <c r="B1603" s="116"/>
      <c r="C1603" s="116"/>
      <c r="D1603" s="116"/>
      <c r="E1603" s="116"/>
      <c r="F1603" s="116"/>
      <c r="G1603" s="116"/>
      <c r="H1603" s="116"/>
      <c r="I1603" s="116"/>
      <c r="J1603" s="116"/>
    </row>
    <row r="1604" spans="1:10" ht="13.5" customHeight="1">
      <c r="A1604" s="2"/>
      <c r="B1604" s="116"/>
      <c r="C1604" s="116"/>
      <c r="D1604" s="116"/>
      <c r="E1604" s="116"/>
      <c r="F1604" s="116"/>
      <c r="G1604" s="116"/>
      <c r="H1604" s="116"/>
      <c r="I1604" s="116"/>
      <c r="J1604" s="116"/>
    </row>
    <row r="1605" spans="1:10" ht="13.5" customHeight="1">
      <c r="A1605" s="2"/>
      <c r="B1605" s="116"/>
      <c r="C1605" s="116"/>
      <c r="D1605" s="116"/>
      <c r="E1605" s="116"/>
      <c r="F1605" s="116"/>
      <c r="G1605" s="116"/>
      <c r="H1605" s="116"/>
      <c r="I1605" s="116"/>
      <c r="J1605" s="116"/>
    </row>
    <row r="1606" spans="1:10" ht="13.5" customHeight="1">
      <c r="A1606" s="2"/>
      <c r="B1606" s="116"/>
      <c r="C1606" s="116"/>
      <c r="D1606" s="116"/>
      <c r="E1606" s="116"/>
      <c r="F1606" s="116"/>
      <c r="G1606" s="116"/>
      <c r="H1606" s="116"/>
      <c r="I1606" s="116"/>
      <c r="J1606" s="116"/>
    </row>
    <row r="1607" spans="1:10" ht="13.5" customHeight="1">
      <c r="A1607" s="2"/>
      <c r="B1607" s="116"/>
      <c r="C1607" s="116"/>
      <c r="D1607" s="116"/>
      <c r="E1607" s="116"/>
      <c r="F1607" s="116"/>
      <c r="G1607" s="116"/>
      <c r="H1607" s="116"/>
      <c r="I1607" s="116"/>
      <c r="J1607" s="116"/>
    </row>
    <row r="1608" spans="1:10" ht="13.5" customHeight="1">
      <c r="A1608" s="2"/>
      <c r="B1608" s="116"/>
      <c r="C1608" s="116"/>
      <c r="D1608" s="116"/>
      <c r="E1608" s="116"/>
      <c r="F1608" s="116"/>
      <c r="G1608" s="116"/>
      <c r="H1608" s="116"/>
      <c r="I1608" s="116"/>
      <c r="J1608" s="116"/>
    </row>
    <row r="1609" spans="1:10" ht="13.5" customHeight="1">
      <c r="A1609" s="2"/>
      <c r="B1609" s="116"/>
      <c r="C1609" s="116"/>
      <c r="D1609" s="116"/>
      <c r="E1609" s="116"/>
      <c r="F1609" s="116"/>
      <c r="G1609" s="116"/>
      <c r="H1609" s="116"/>
      <c r="I1609" s="116"/>
      <c r="J1609" s="116"/>
    </row>
    <row r="1610" spans="1:10" ht="13.5" customHeight="1">
      <c r="A1610" s="2"/>
      <c r="B1610" s="116"/>
      <c r="C1610" s="116"/>
      <c r="D1610" s="116"/>
      <c r="E1610" s="116"/>
      <c r="F1610" s="116"/>
      <c r="G1610" s="116"/>
      <c r="H1610" s="116"/>
      <c r="I1610" s="116"/>
      <c r="J1610" s="116"/>
    </row>
    <row r="1611" spans="1:10" ht="13.5" customHeight="1">
      <c r="A1611" s="2"/>
      <c r="B1611" s="116"/>
      <c r="C1611" s="116"/>
      <c r="D1611" s="116"/>
      <c r="E1611" s="116"/>
      <c r="F1611" s="116"/>
      <c r="G1611" s="116"/>
      <c r="H1611" s="116"/>
      <c r="I1611" s="116"/>
      <c r="J1611" s="116"/>
    </row>
    <row r="1612" spans="1:10" ht="13.5" customHeight="1">
      <c r="A1612" s="2"/>
      <c r="B1612" s="116"/>
      <c r="C1612" s="116"/>
      <c r="D1612" s="116"/>
      <c r="E1612" s="116"/>
      <c r="F1612" s="116"/>
      <c r="G1612" s="116"/>
      <c r="H1612" s="116"/>
      <c r="I1612" s="116"/>
      <c r="J1612" s="116"/>
    </row>
    <row r="1613" spans="1:10" ht="13.5" customHeight="1">
      <c r="A1613" s="2"/>
      <c r="B1613" s="116"/>
      <c r="C1613" s="116"/>
      <c r="D1613" s="116"/>
      <c r="E1613" s="116"/>
      <c r="F1613" s="116"/>
      <c r="G1613" s="116"/>
      <c r="H1613" s="116"/>
      <c r="I1613" s="116"/>
      <c r="J1613" s="116"/>
    </row>
    <row r="1614" spans="1:10" ht="13.5" customHeight="1">
      <c r="A1614" s="2"/>
      <c r="B1614" s="116"/>
      <c r="C1614" s="116"/>
      <c r="D1614" s="116"/>
      <c r="E1614" s="116"/>
      <c r="F1614" s="116"/>
      <c r="G1614" s="116"/>
      <c r="H1614" s="116"/>
      <c r="I1614" s="116"/>
      <c r="J1614" s="116"/>
    </row>
    <row r="1615" spans="1:10" ht="13.5" customHeight="1">
      <c r="A1615" s="2"/>
      <c r="B1615" s="116"/>
      <c r="C1615" s="116"/>
      <c r="D1615" s="116"/>
      <c r="E1615" s="116"/>
      <c r="F1615" s="116"/>
      <c r="G1615" s="116"/>
      <c r="H1615" s="116"/>
      <c r="I1615" s="116"/>
      <c r="J1615" s="116"/>
    </row>
    <row r="1616" spans="1:10" ht="13.5" customHeight="1">
      <c r="A1616" s="2"/>
      <c r="B1616" s="116"/>
      <c r="C1616" s="116"/>
      <c r="D1616" s="116"/>
      <c r="E1616" s="116"/>
      <c r="F1616" s="116"/>
      <c r="G1616" s="116"/>
      <c r="H1616" s="116"/>
      <c r="I1616" s="116"/>
      <c r="J1616" s="116"/>
    </row>
    <row r="1617" spans="1:10" ht="13.5" customHeight="1">
      <c r="A1617" s="2"/>
      <c r="B1617" s="116"/>
      <c r="C1617" s="116"/>
      <c r="D1617" s="116"/>
      <c r="E1617" s="116"/>
      <c r="F1617" s="116"/>
      <c r="G1617" s="116"/>
      <c r="H1617" s="116"/>
      <c r="I1617" s="116"/>
      <c r="J1617" s="116"/>
    </row>
    <row r="1618" spans="1:10" ht="13.5" customHeight="1">
      <c r="A1618" s="2"/>
      <c r="B1618" s="116"/>
      <c r="C1618" s="116"/>
      <c r="D1618" s="116"/>
      <c r="E1618" s="116"/>
      <c r="F1618" s="116"/>
      <c r="G1618" s="116"/>
      <c r="H1618" s="116"/>
      <c r="I1618" s="116"/>
      <c r="J1618" s="116"/>
    </row>
    <row r="1619" spans="1:10" ht="13.5" customHeight="1">
      <c r="A1619" s="2"/>
      <c r="B1619" s="116"/>
      <c r="C1619" s="116"/>
      <c r="D1619" s="116"/>
      <c r="E1619" s="116"/>
      <c r="F1619" s="116"/>
      <c r="G1619" s="116"/>
      <c r="H1619" s="116"/>
      <c r="I1619" s="116"/>
      <c r="J1619" s="116"/>
    </row>
    <row r="1620" spans="1:10" ht="13.5" customHeight="1">
      <c r="A1620" s="2"/>
      <c r="B1620" s="116"/>
      <c r="C1620" s="116"/>
      <c r="D1620" s="116"/>
      <c r="E1620" s="116"/>
      <c r="F1620" s="116"/>
      <c r="G1620" s="116"/>
      <c r="H1620" s="116"/>
      <c r="I1620" s="116"/>
      <c r="J1620" s="116"/>
    </row>
    <row r="1621" spans="1:10" ht="13.5" customHeight="1">
      <c r="A1621" s="2"/>
      <c r="B1621" s="116"/>
      <c r="C1621" s="116"/>
      <c r="D1621" s="116"/>
      <c r="E1621" s="116"/>
      <c r="F1621" s="116"/>
      <c r="G1621" s="116"/>
      <c r="H1621" s="116"/>
      <c r="I1621" s="116"/>
      <c r="J1621" s="116"/>
    </row>
    <row r="1622" spans="1:10" ht="13.5" customHeight="1">
      <c r="A1622" s="2"/>
      <c r="B1622" s="116"/>
      <c r="C1622" s="116"/>
      <c r="D1622" s="116"/>
      <c r="E1622" s="116"/>
      <c r="F1622" s="116"/>
      <c r="G1622" s="116"/>
      <c r="H1622" s="116"/>
      <c r="I1622" s="116"/>
      <c r="J1622" s="116"/>
    </row>
    <row r="1623" spans="1:10" ht="13.5" customHeight="1">
      <c r="A1623" s="2"/>
      <c r="B1623" s="116"/>
      <c r="C1623" s="116"/>
      <c r="D1623" s="116"/>
      <c r="E1623" s="116"/>
      <c r="F1623" s="116"/>
      <c r="G1623" s="116"/>
      <c r="H1623" s="116"/>
      <c r="I1623" s="116"/>
      <c r="J1623" s="116"/>
    </row>
    <row r="1624" spans="1:10" ht="13.5" customHeight="1">
      <c r="A1624" s="2"/>
      <c r="B1624" s="116"/>
      <c r="C1624" s="116"/>
      <c r="D1624" s="116"/>
      <c r="E1624" s="116"/>
      <c r="F1624" s="116"/>
      <c r="G1624" s="116"/>
      <c r="H1624" s="116"/>
      <c r="I1624" s="116"/>
      <c r="J1624" s="116"/>
    </row>
    <row r="1625" spans="1:10" ht="13.5" customHeight="1">
      <c r="A1625" s="2"/>
      <c r="B1625" s="116"/>
      <c r="C1625" s="116"/>
      <c r="D1625" s="116"/>
      <c r="E1625" s="116"/>
      <c r="F1625" s="116"/>
      <c r="G1625" s="116"/>
      <c r="H1625" s="116"/>
      <c r="I1625" s="116"/>
      <c r="J1625" s="116"/>
    </row>
    <row r="1626" spans="1:10" ht="13.5" customHeight="1">
      <c r="A1626" s="2"/>
      <c r="B1626" s="116"/>
      <c r="C1626" s="116"/>
      <c r="D1626" s="116"/>
      <c r="E1626" s="116"/>
      <c r="F1626" s="116"/>
      <c r="G1626" s="116"/>
      <c r="H1626" s="116"/>
      <c r="I1626" s="116"/>
      <c r="J1626" s="116"/>
    </row>
    <row r="1627" spans="1:10" ht="13.5" customHeight="1">
      <c r="A1627" s="2"/>
      <c r="B1627" s="116"/>
      <c r="C1627" s="116"/>
      <c r="D1627" s="116"/>
      <c r="E1627" s="116"/>
      <c r="F1627" s="116"/>
      <c r="G1627" s="116"/>
      <c r="H1627" s="116"/>
      <c r="I1627" s="116"/>
      <c r="J1627" s="116"/>
    </row>
    <row r="1628" spans="1:10" ht="13.5" customHeight="1">
      <c r="A1628" s="2"/>
      <c r="B1628" s="116"/>
      <c r="C1628" s="116"/>
      <c r="D1628" s="116"/>
      <c r="E1628" s="116"/>
      <c r="F1628" s="116"/>
      <c r="G1628" s="116"/>
      <c r="H1628" s="116"/>
      <c r="I1628" s="116"/>
      <c r="J1628" s="116"/>
    </row>
    <row r="1629" spans="1:10" ht="13.5" customHeight="1">
      <c r="A1629" s="2"/>
      <c r="B1629" s="116"/>
      <c r="C1629" s="116"/>
      <c r="D1629" s="116"/>
      <c r="E1629" s="116"/>
      <c r="F1629" s="116"/>
      <c r="G1629" s="116"/>
      <c r="H1629" s="116"/>
      <c r="I1629" s="116"/>
      <c r="J1629" s="116"/>
    </row>
    <row r="1630" spans="1:10" ht="13.5" customHeight="1">
      <c r="A1630" s="2"/>
      <c r="B1630" s="116"/>
      <c r="C1630" s="116"/>
      <c r="D1630" s="116"/>
      <c r="E1630" s="116"/>
      <c r="F1630" s="116"/>
      <c r="G1630" s="116"/>
      <c r="H1630" s="116"/>
      <c r="I1630" s="116"/>
      <c r="J1630" s="116"/>
    </row>
    <row r="1631" spans="1:10" ht="13.5" customHeight="1">
      <c r="A1631" s="2"/>
      <c r="B1631" s="116"/>
      <c r="C1631" s="116"/>
      <c r="D1631" s="116"/>
      <c r="E1631" s="116"/>
      <c r="F1631" s="116"/>
      <c r="G1631" s="116"/>
      <c r="H1631" s="116"/>
      <c r="I1631" s="116"/>
      <c r="J1631" s="116"/>
    </row>
    <row r="1632" spans="1:10" ht="13.5" customHeight="1">
      <c r="A1632" s="2"/>
      <c r="B1632" s="116"/>
      <c r="C1632" s="116"/>
      <c r="D1632" s="116"/>
      <c r="E1632" s="116"/>
      <c r="F1632" s="116"/>
      <c r="G1632" s="116"/>
      <c r="H1632" s="116"/>
      <c r="I1632" s="116"/>
      <c r="J1632" s="116"/>
    </row>
    <row r="1633" spans="1:10" ht="13.5" customHeight="1">
      <c r="A1633" s="2"/>
      <c r="B1633" s="116"/>
      <c r="C1633" s="116"/>
      <c r="D1633" s="116"/>
      <c r="E1633" s="116"/>
      <c r="F1633" s="116"/>
      <c r="G1633" s="116"/>
      <c r="H1633" s="116"/>
      <c r="I1633" s="116"/>
      <c r="J1633" s="116"/>
    </row>
    <row r="1634" spans="1:10" ht="13.5" customHeight="1">
      <c r="A1634" s="2"/>
      <c r="B1634" s="116"/>
      <c r="C1634" s="116"/>
      <c r="D1634" s="116"/>
      <c r="E1634" s="116"/>
      <c r="F1634" s="116"/>
      <c r="G1634" s="116"/>
      <c r="H1634" s="116"/>
      <c r="I1634" s="116"/>
      <c r="J1634" s="116"/>
    </row>
    <row r="1635" spans="1:10" ht="13.5" customHeight="1">
      <c r="A1635" s="2"/>
      <c r="B1635" s="116"/>
      <c r="C1635" s="116"/>
      <c r="D1635" s="116"/>
      <c r="E1635" s="116"/>
      <c r="F1635" s="116"/>
      <c r="G1635" s="116"/>
      <c r="H1635" s="116"/>
      <c r="I1635" s="116"/>
      <c r="J1635" s="116"/>
    </row>
    <row r="1636" spans="1:10" ht="13.5" customHeight="1">
      <c r="A1636" s="2"/>
      <c r="B1636" s="116"/>
      <c r="C1636" s="116"/>
      <c r="D1636" s="116"/>
      <c r="E1636" s="116"/>
      <c r="F1636" s="116"/>
      <c r="G1636" s="116"/>
      <c r="H1636" s="116"/>
      <c r="I1636" s="116"/>
      <c r="J1636" s="116"/>
    </row>
    <row r="1637" spans="1:10" ht="13.5" customHeight="1">
      <c r="A1637" s="2"/>
      <c r="B1637" s="116"/>
      <c r="C1637" s="116"/>
      <c r="D1637" s="116"/>
      <c r="E1637" s="116"/>
      <c r="F1637" s="116"/>
      <c r="G1637" s="116"/>
      <c r="H1637" s="116"/>
      <c r="I1637" s="116"/>
      <c r="J1637" s="116"/>
    </row>
    <row r="1638" spans="1:10" ht="13.5" customHeight="1">
      <c r="A1638" s="2"/>
      <c r="B1638" s="116"/>
      <c r="C1638" s="116"/>
      <c r="D1638" s="116"/>
      <c r="E1638" s="116"/>
      <c r="F1638" s="116"/>
      <c r="G1638" s="116"/>
      <c r="H1638" s="116"/>
      <c r="I1638" s="116"/>
      <c r="J1638" s="116"/>
    </row>
    <row r="1639" spans="1:10" ht="13.5" customHeight="1">
      <c r="A1639" s="2"/>
      <c r="B1639" s="116"/>
      <c r="C1639" s="116"/>
      <c r="D1639" s="116"/>
      <c r="E1639" s="116"/>
      <c r="F1639" s="116"/>
      <c r="G1639" s="116"/>
      <c r="H1639" s="116"/>
      <c r="I1639" s="116"/>
      <c r="J1639" s="116"/>
    </row>
    <row r="1640" spans="1:10" ht="13.5" customHeight="1">
      <c r="A1640" s="2"/>
      <c r="B1640" s="116"/>
      <c r="C1640" s="116"/>
      <c r="D1640" s="116"/>
      <c r="E1640" s="116"/>
      <c r="F1640" s="116"/>
      <c r="G1640" s="116"/>
      <c r="H1640" s="116"/>
      <c r="I1640" s="116"/>
      <c r="J1640" s="116"/>
    </row>
    <row r="1641" spans="1:10" ht="13.5" customHeight="1">
      <c r="A1641" s="2"/>
      <c r="B1641" s="116"/>
      <c r="C1641" s="116"/>
      <c r="D1641" s="116"/>
      <c r="E1641" s="116"/>
      <c r="F1641" s="116"/>
      <c r="G1641" s="116"/>
      <c r="H1641" s="116"/>
      <c r="I1641" s="116"/>
      <c r="J1641" s="116"/>
    </row>
    <row r="1642" spans="1:10" ht="13.5" customHeight="1">
      <c r="A1642" s="2"/>
      <c r="B1642" s="116"/>
      <c r="C1642" s="116"/>
      <c r="D1642" s="116"/>
      <c r="E1642" s="116"/>
      <c r="F1642" s="116"/>
      <c r="G1642" s="116"/>
      <c r="H1642" s="116"/>
      <c r="I1642" s="116"/>
      <c r="J1642" s="116"/>
    </row>
    <row r="1643" spans="1:10" ht="13.5" customHeight="1">
      <c r="A1643" s="2"/>
      <c r="B1643" s="116"/>
      <c r="C1643" s="116"/>
      <c r="D1643" s="116"/>
      <c r="E1643" s="116"/>
      <c r="F1643" s="116"/>
      <c r="G1643" s="116"/>
      <c r="H1643" s="116"/>
      <c r="I1643" s="116"/>
      <c r="J1643" s="116"/>
    </row>
    <row r="1644" spans="1:10" ht="13.5" customHeight="1">
      <c r="A1644" s="2"/>
      <c r="B1644" s="116"/>
      <c r="C1644" s="116"/>
      <c r="D1644" s="116"/>
      <c r="E1644" s="116"/>
      <c r="F1644" s="116"/>
      <c r="G1644" s="116"/>
      <c r="H1644" s="116"/>
      <c r="I1644" s="116"/>
      <c r="J1644" s="116"/>
    </row>
    <row r="1645" spans="1:10" ht="13.5" customHeight="1">
      <c r="A1645" s="2"/>
      <c r="B1645" s="116"/>
      <c r="C1645" s="116"/>
      <c r="D1645" s="116"/>
      <c r="E1645" s="116"/>
      <c r="F1645" s="116"/>
      <c r="G1645" s="116"/>
      <c r="H1645" s="116"/>
      <c r="I1645" s="116"/>
      <c r="J1645" s="116"/>
    </row>
    <row r="1646" spans="1:10" ht="13.5" customHeight="1">
      <c r="A1646" s="2"/>
      <c r="B1646" s="116"/>
      <c r="C1646" s="116"/>
      <c r="D1646" s="116"/>
      <c r="E1646" s="116"/>
      <c r="F1646" s="116"/>
      <c r="G1646" s="116"/>
      <c r="H1646" s="116"/>
      <c r="I1646" s="116"/>
      <c r="J1646" s="116"/>
    </row>
    <row r="1647" spans="1:10" ht="13.5" customHeight="1">
      <c r="A1647" s="2"/>
      <c r="B1647" s="116"/>
      <c r="C1647" s="116"/>
      <c r="D1647" s="116"/>
      <c r="E1647" s="116"/>
      <c r="F1647" s="116"/>
      <c r="G1647" s="116"/>
      <c r="H1647" s="116"/>
      <c r="I1647" s="116"/>
      <c r="J1647" s="116"/>
    </row>
    <row r="1648" spans="1:10" ht="13.5" customHeight="1">
      <c r="A1648" s="2"/>
      <c r="B1648" s="116"/>
      <c r="C1648" s="116"/>
      <c r="D1648" s="116"/>
      <c r="E1648" s="116"/>
      <c r="F1648" s="116"/>
      <c r="G1648" s="116"/>
      <c r="H1648" s="116"/>
      <c r="I1648" s="116"/>
      <c r="J1648" s="116"/>
    </row>
    <row r="1649" spans="1:10" ht="13.5" customHeight="1">
      <c r="A1649" s="2"/>
      <c r="B1649" s="116"/>
      <c r="C1649" s="116"/>
      <c r="D1649" s="116"/>
      <c r="E1649" s="116"/>
      <c r="F1649" s="116"/>
      <c r="G1649" s="116"/>
      <c r="H1649" s="116"/>
      <c r="I1649" s="116"/>
      <c r="J1649" s="116"/>
    </row>
    <row r="1650" spans="1:10" ht="13.5" customHeight="1">
      <c r="A1650" s="2"/>
      <c r="B1650" s="116"/>
      <c r="C1650" s="116"/>
      <c r="D1650" s="116"/>
      <c r="E1650" s="116"/>
      <c r="F1650" s="116"/>
      <c r="G1650" s="116"/>
      <c r="H1650" s="116"/>
      <c r="I1650" s="116"/>
      <c r="J1650" s="116"/>
    </row>
    <row r="1651" spans="1:10" ht="13.5" customHeight="1">
      <c r="A1651" s="2"/>
      <c r="B1651" s="116"/>
      <c r="C1651" s="116"/>
      <c r="D1651" s="116"/>
      <c r="E1651" s="116"/>
      <c r="F1651" s="116"/>
      <c r="G1651" s="116"/>
      <c r="H1651" s="116"/>
      <c r="I1651" s="116"/>
      <c r="J1651" s="116"/>
    </row>
    <row r="1652" spans="1:10" ht="13.5" customHeight="1">
      <c r="A1652" s="2"/>
      <c r="B1652" s="116"/>
      <c r="C1652" s="116"/>
      <c r="D1652" s="116"/>
      <c r="E1652" s="116"/>
      <c r="F1652" s="116"/>
      <c r="G1652" s="116"/>
      <c r="H1652" s="116"/>
      <c r="I1652" s="116"/>
      <c r="J1652" s="116"/>
    </row>
    <row r="1653" spans="1:10" ht="13.5" customHeight="1">
      <c r="A1653" s="2"/>
      <c r="B1653" s="116"/>
      <c r="C1653" s="116"/>
      <c r="D1653" s="116"/>
      <c r="E1653" s="116"/>
      <c r="F1653" s="116"/>
      <c r="G1653" s="116"/>
      <c r="H1653" s="116"/>
      <c r="I1653" s="116"/>
      <c r="J1653" s="116"/>
    </row>
    <row r="1654" spans="1:10" ht="13.5" customHeight="1">
      <c r="A1654" s="2"/>
      <c r="B1654" s="116"/>
      <c r="C1654" s="116"/>
      <c r="D1654" s="116"/>
      <c r="E1654" s="116"/>
      <c r="F1654" s="116"/>
      <c r="G1654" s="116"/>
      <c r="H1654" s="116"/>
      <c r="I1654" s="116"/>
      <c r="J1654" s="116"/>
    </row>
    <row r="1655" spans="1:10" ht="13.5" customHeight="1">
      <c r="A1655" s="2"/>
      <c r="B1655" s="116"/>
      <c r="C1655" s="116"/>
      <c r="D1655" s="116"/>
      <c r="E1655" s="116"/>
      <c r="F1655" s="116"/>
      <c r="G1655" s="116"/>
      <c r="H1655" s="116"/>
      <c r="I1655" s="116"/>
      <c r="J1655" s="116"/>
    </row>
    <row r="1656" spans="1:10" ht="13.5" customHeight="1">
      <c r="A1656" s="2"/>
      <c r="B1656" s="116"/>
      <c r="C1656" s="116"/>
      <c r="D1656" s="116"/>
      <c r="E1656" s="116"/>
      <c r="F1656" s="116"/>
      <c r="G1656" s="116"/>
      <c r="H1656" s="116"/>
      <c r="I1656" s="116"/>
      <c r="J1656" s="116"/>
    </row>
    <row r="1657" spans="1:10" ht="13.5" customHeight="1">
      <c r="A1657" s="2"/>
      <c r="B1657" s="116"/>
      <c r="C1657" s="116"/>
      <c r="D1657" s="116"/>
      <c r="E1657" s="116"/>
      <c r="F1657" s="116"/>
      <c r="G1657" s="116"/>
      <c r="H1657" s="116"/>
      <c r="I1657" s="116"/>
      <c r="J1657" s="116"/>
    </row>
    <row r="1658" spans="1:10" ht="13.5" customHeight="1">
      <c r="A1658" s="2"/>
      <c r="B1658" s="116"/>
      <c r="C1658" s="116"/>
      <c r="D1658" s="116"/>
      <c r="E1658" s="116"/>
      <c r="F1658" s="116"/>
      <c r="G1658" s="116"/>
      <c r="H1658" s="116"/>
      <c r="I1658" s="116"/>
      <c r="J1658" s="116"/>
    </row>
    <row r="1659" spans="1:10" ht="13.5" customHeight="1">
      <c r="A1659" s="2"/>
      <c r="B1659" s="116"/>
      <c r="C1659" s="116"/>
      <c r="D1659" s="116"/>
      <c r="E1659" s="116"/>
      <c r="F1659" s="116"/>
      <c r="G1659" s="116"/>
      <c r="H1659" s="116"/>
      <c r="I1659" s="116"/>
      <c r="J1659" s="116"/>
    </row>
    <row r="1660" spans="1:10" ht="13.5" customHeight="1">
      <c r="A1660" s="2"/>
      <c r="B1660" s="116"/>
      <c r="C1660" s="116"/>
      <c r="D1660" s="116"/>
      <c r="E1660" s="116"/>
      <c r="F1660" s="116"/>
      <c r="G1660" s="116"/>
      <c r="H1660" s="116"/>
      <c r="I1660" s="116"/>
      <c r="J1660" s="116"/>
    </row>
    <row r="1661" spans="1:10" ht="13.5" customHeight="1">
      <c r="A1661" s="2"/>
      <c r="B1661" s="116"/>
      <c r="C1661" s="116"/>
      <c r="D1661" s="116"/>
      <c r="E1661" s="116"/>
      <c r="F1661" s="116"/>
      <c r="G1661" s="116"/>
      <c r="H1661" s="116"/>
      <c r="I1661" s="116"/>
      <c r="J1661" s="116"/>
    </row>
    <row r="1662" spans="1:10" ht="13.5" customHeight="1">
      <c r="A1662" s="2"/>
      <c r="B1662" s="116"/>
      <c r="C1662" s="116"/>
      <c r="D1662" s="116"/>
      <c r="E1662" s="116"/>
      <c r="F1662" s="116"/>
      <c r="G1662" s="116"/>
      <c r="H1662" s="116"/>
      <c r="I1662" s="116"/>
      <c r="J1662" s="116"/>
    </row>
    <row r="1663" spans="1:10" ht="13.5" customHeight="1">
      <c r="A1663" s="2"/>
      <c r="B1663" s="116"/>
      <c r="C1663" s="116"/>
      <c r="D1663" s="116"/>
      <c r="E1663" s="116"/>
      <c r="F1663" s="116"/>
      <c r="G1663" s="116"/>
      <c r="H1663" s="116"/>
      <c r="I1663" s="116"/>
      <c r="J1663" s="116"/>
    </row>
    <row r="1664" spans="1:10" ht="13.5" customHeight="1">
      <c r="A1664" s="2"/>
      <c r="B1664" s="116"/>
      <c r="C1664" s="116"/>
      <c r="D1664" s="116"/>
      <c r="E1664" s="116"/>
      <c r="F1664" s="116"/>
      <c r="G1664" s="116"/>
      <c r="H1664" s="116"/>
      <c r="I1664" s="116"/>
      <c r="J1664" s="116"/>
    </row>
    <row r="1665" spans="1:10" ht="13.5" customHeight="1">
      <c r="A1665" s="2"/>
      <c r="B1665" s="116"/>
      <c r="C1665" s="116"/>
      <c r="D1665" s="116"/>
      <c r="E1665" s="116"/>
      <c r="F1665" s="116"/>
      <c r="G1665" s="116"/>
      <c r="H1665" s="116"/>
      <c r="I1665" s="116"/>
      <c r="J1665" s="116"/>
    </row>
    <row r="1666" spans="1:10" ht="13.5" customHeight="1">
      <c r="A1666" s="2"/>
      <c r="B1666" s="116"/>
      <c r="C1666" s="116"/>
      <c r="D1666" s="116"/>
      <c r="E1666" s="116"/>
      <c r="F1666" s="116"/>
      <c r="G1666" s="116"/>
      <c r="H1666" s="116"/>
      <c r="I1666" s="116"/>
      <c r="J1666" s="116"/>
    </row>
    <row r="1667" spans="1:10" ht="13.5" customHeight="1">
      <c r="A1667" s="2"/>
      <c r="B1667" s="116"/>
      <c r="C1667" s="116"/>
      <c r="D1667" s="116"/>
      <c r="E1667" s="116"/>
      <c r="F1667" s="116"/>
      <c r="G1667" s="116"/>
      <c r="H1667" s="116"/>
      <c r="I1667" s="116"/>
      <c r="J1667" s="116"/>
    </row>
    <row r="1668" spans="1:10" ht="13.5" customHeight="1">
      <c r="A1668" s="2"/>
      <c r="B1668" s="116"/>
      <c r="C1668" s="116"/>
      <c r="D1668" s="116"/>
      <c r="E1668" s="116"/>
      <c r="F1668" s="116"/>
      <c r="G1668" s="116"/>
      <c r="H1668" s="116"/>
      <c r="I1668" s="116"/>
      <c r="J1668" s="116"/>
    </row>
    <row r="1669" spans="1:10" ht="13.5" customHeight="1">
      <c r="A1669" s="2"/>
      <c r="B1669" s="116"/>
      <c r="C1669" s="116"/>
      <c r="D1669" s="116"/>
      <c r="E1669" s="116"/>
      <c r="F1669" s="116"/>
      <c r="G1669" s="116"/>
      <c r="H1669" s="116"/>
      <c r="I1669" s="116"/>
      <c r="J1669" s="116"/>
    </row>
    <row r="1670" spans="1:10" ht="13.5" customHeight="1">
      <c r="A1670" s="2"/>
      <c r="B1670" s="116"/>
      <c r="C1670" s="116"/>
      <c r="D1670" s="116"/>
      <c r="E1670" s="116"/>
      <c r="F1670" s="116"/>
      <c r="G1670" s="116"/>
      <c r="H1670" s="116"/>
      <c r="I1670" s="116"/>
      <c r="J1670" s="116"/>
    </row>
    <row r="1671" spans="1:10" ht="13.5" customHeight="1">
      <c r="A1671" s="2"/>
      <c r="B1671" s="116"/>
      <c r="C1671" s="116"/>
      <c r="D1671" s="116"/>
      <c r="E1671" s="116"/>
      <c r="F1671" s="116"/>
      <c r="G1671" s="116"/>
      <c r="H1671" s="116"/>
      <c r="I1671" s="116"/>
      <c r="J1671" s="116"/>
    </row>
    <row r="1672" spans="1:10" ht="13.5" customHeight="1">
      <c r="A1672" s="2"/>
      <c r="B1672" s="116"/>
      <c r="C1672" s="116"/>
      <c r="D1672" s="116"/>
      <c r="E1672" s="116"/>
      <c r="F1672" s="116"/>
      <c r="G1672" s="116"/>
      <c r="H1672" s="116"/>
      <c r="I1672" s="116"/>
      <c r="J1672" s="116"/>
    </row>
    <row r="1673" spans="1:10" ht="13.5" customHeight="1">
      <c r="A1673" s="2"/>
      <c r="B1673" s="116"/>
      <c r="C1673" s="116"/>
      <c r="D1673" s="116"/>
      <c r="E1673" s="116"/>
      <c r="F1673" s="116"/>
      <c r="G1673" s="116"/>
      <c r="H1673" s="116"/>
      <c r="I1673" s="116"/>
      <c r="J1673" s="116"/>
    </row>
    <row r="1674" spans="1:10" ht="13.5" customHeight="1">
      <c r="A1674" s="2"/>
      <c r="B1674" s="116"/>
      <c r="C1674" s="116"/>
      <c r="D1674" s="116"/>
      <c r="E1674" s="116"/>
      <c r="F1674" s="116"/>
      <c r="G1674" s="116"/>
      <c r="H1674" s="116"/>
      <c r="I1674" s="116"/>
      <c r="J1674" s="116"/>
    </row>
    <row r="1675" spans="1:10" ht="13.5" customHeight="1">
      <c r="A1675" s="2"/>
      <c r="B1675" s="116"/>
      <c r="C1675" s="116"/>
      <c r="D1675" s="116"/>
      <c r="E1675" s="116"/>
      <c r="F1675" s="116"/>
      <c r="G1675" s="116"/>
      <c r="H1675" s="116"/>
      <c r="I1675" s="116"/>
      <c r="J1675" s="116"/>
    </row>
    <row r="1676" spans="1:10" ht="13.5" customHeight="1">
      <c r="A1676" s="2"/>
      <c r="B1676" s="116"/>
      <c r="C1676" s="116"/>
      <c r="D1676" s="116"/>
      <c r="E1676" s="116"/>
      <c r="F1676" s="116"/>
      <c r="G1676" s="116"/>
      <c r="H1676" s="116"/>
      <c r="I1676" s="116"/>
      <c r="J1676" s="116"/>
    </row>
    <row r="1677" spans="1:10" ht="13.5" customHeight="1">
      <c r="A1677" s="2"/>
      <c r="B1677" s="116"/>
      <c r="C1677" s="116"/>
      <c r="D1677" s="116"/>
      <c r="E1677" s="116"/>
      <c r="F1677" s="116"/>
      <c r="G1677" s="116"/>
      <c r="H1677" s="116"/>
      <c r="I1677" s="116"/>
      <c r="J1677" s="116"/>
    </row>
    <row r="1678" spans="1:10" ht="13.5" customHeight="1">
      <c r="A1678" s="2"/>
      <c r="B1678" s="116"/>
      <c r="C1678" s="116"/>
      <c r="D1678" s="116"/>
      <c r="E1678" s="116"/>
      <c r="F1678" s="116"/>
      <c r="G1678" s="116"/>
      <c r="H1678" s="116"/>
      <c r="I1678" s="116"/>
      <c r="J1678" s="116"/>
    </row>
    <row r="1679" spans="1:10" ht="13.5" customHeight="1">
      <c r="A1679" s="2"/>
      <c r="B1679" s="116"/>
      <c r="C1679" s="116"/>
      <c r="D1679" s="116"/>
      <c r="E1679" s="116"/>
      <c r="F1679" s="116"/>
      <c r="G1679" s="116"/>
      <c r="H1679" s="116"/>
      <c r="I1679" s="116"/>
      <c r="J1679" s="116"/>
    </row>
    <row r="1680" spans="1:10" ht="13.5" customHeight="1">
      <c r="A1680" s="2"/>
      <c r="B1680" s="116"/>
      <c r="C1680" s="116"/>
      <c r="D1680" s="116"/>
      <c r="E1680" s="116"/>
      <c r="F1680" s="116"/>
      <c r="G1680" s="116"/>
      <c r="H1680" s="116"/>
      <c r="I1680" s="116"/>
      <c r="J1680" s="116"/>
    </row>
    <row r="1681" spans="1:10" ht="13.5" customHeight="1">
      <c r="A1681" s="2"/>
      <c r="B1681" s="116"/>
      <c r="C1681" s="116"/>
      <c r="D1681" s="116"/>
      <c r="E1681" s="116"/>
      <c r="F1681" s="116"/>
      <c r="G1681" s="116"/>
      <c r="H1681" s="116"/>
      <c r="I1681" s="116"/>
      <c r="J1681" s="116"/>
    </row>
    <row r="1682" spans="1:10" ht="13.5" customHeight="1">
      <c r="A1682" s="2"/>
      <c r="B1682" s="116"/>
      <c r="C1682" s="116"/>
      <c r="D1682" s="116"/>
      <c r="E1682" s="116"/>
      <c r="F1682" s="116"/>
      <c r="G1682" s="116"/>
      <c r="H1682" s="116"/>
      <c r="I1682" s="116"/>
      <c r="J1682" s="116"/>
    </row>
    <row r="1683" spans="1:10" ht="13.5" customHeight="1">
      <c r="A1683" s="2"/>
      <c r="B1683" s="116"/>
      <c r="C1683" s="116"/>
      <c r="D1683" s="116"/>
      <c r="E1683" s="116"/>
      <c r="F1683" s="116"/>
      <c r="G1683" s="116"/>
      <c r="H1683" s="116"/>
      <c r="I1683" s="116"/>
      <c r="J1683" s="116"/>
    </row>
    <row r="1684" spans="1:10" ht="13.5" customHeight="1">
      <c r="A1684" s="2"/>
      <c r="B1684" s="116"/>
      <c r="C1684" s="116"/>
      <c r="D1684" s="116"/>
      <c r="E1684" s="116"/>
      <c r="F1684" s="116"/>
      <c r="G1684" s="116"/>
      <c r="H1684" s="116"/>
      <c r="I1684" s="116"/>
      <c r="J1684" s="116"/>
    </row>
    <row r="1685" spans="1:10" ht="13.5" customHeight="1">
      <c r="A1685" s="2"/>
      <c r="B1685" s="116"/>
      <c r="C1685" s="116"/>
      <c r="D1685" s="116"/>
      <c r="E1685" s="116"/>
      <c r="F1685" s="116"/>
      <c r="G1685" s="116"/>
      <c r="H1685" s="116"/>
      <c r="I1685" s="116"/>
      <c r="J1685" s="116"/>
    </row>
    <row r="1686" spans="1:10" ht="13.5" customHeight="1">
      <c r="A1686" s="2"/>
      <c r="B1686" s="116"/>
      <c r="C1686" s="116"/>
      <c r="D1686" s="116"/>
      <c r="E1686" s="116"/>
      <c r="F1686" s="116"/>
      <c r="G1686" s="116"/>
      <c r="H1686" s="116"/>
      <c r="I1686" s="116"/>
      <c r="J1686" s="116"/>
    </row>
    <row r="1687" spans="1:10" ht="13.5" customHeight="1">
      <c r="A1687" s="2"/>
      <c r="B1687" s="116"/>
      <c r="C1687" s="116"/>
      <c r="D1687" s="116"/>
      <c r="E1687" s="116"/>
      <c r="F1687" s="116"/>
      <c r="G1687" s="116"/>
      <c r="H1687" s="116"/>
      <c r="I1687" s="116"/>
      <c r="J1687" s="116"/>
    </row>
    <row r="1688" spans="1:10" ht="13.5" customHeight="1">
      <c r="A1688" s="2"/>
      <c r="B1688" s="116"/>
      <c r="C1688" s="116"/>
      <c r="D1688" s="116"/>
      <c r="E1688" s="116"/>
      <c r="F1688" s="116"/>
      <c r="G1688" s="116"/>
      <c r="H1688" s="116"/>
      <c r="I1688" s="116"/>
      <c r="J1688" s="116"/>
    </row>
    <row r="1689" spans="1:10" ht="13.5" customHeight="1">
      <c r="A1689" s="2"/>
      <c r="B1689" s="116"/>
      <c r="C1689" s="116"/>
      <c r="D1689" s="116"/>
      <c r="E1689" s="116"/>
      <c r="F1689" s="116"/>
      <c r="G1689" s="116"/>
      <c r="H1689" s="116"/>
      <c r="I1689" s="116"/>
      <c r="J1689" s="116"/>
    </row>
    <row r="1690" spans="1:10" ht="13.5" customHeight="1">
      <c r="A1690" s="2"/>
      <c r="B1690" s="116"/>
      <c r="C1690" s="116"/>
      <c r="D1690" s="116"/>
      <c r="E1690" s="116"/>
      <c r="F1690" s="116"/>
      <c r="G1690" s="116"/>
      <c r="H1690" s="116"/>
      <c r="I1690" s="116"/>
      <c r="J1690" s="116"/>
    </row>
    <row r="1691" spans="1:10" ht="13.5" customHeight="1">
      <c r="A1691" s="2"/>
      <c r="B1691" s="116"/>
      <c r="C1691" s="116"/>
      <c r="D1691" s="116"/>
      <c r="E1691" s="116"/>
      <c r="F1691" s="116"/>
      <c r="G1691" s="116"/>
      <c r="H1691" s="116"/>
      <c r="I1691" s="116"/>
      <c r="J1691" s="116"/>
    </row>
    <row r="1692" spans="1:10" ht="13.5" customHeight="1">
      <c r="A1692" s="2"/>
      <c r="B1692" s="116"/>
      <c r="C1692" s="116"/>
      <c r="D1692" s="116"/>
      <c r="E1692" s="116"/>
      <c r="F1692" s="116"/>
      <c r="G1692" s="116"/>
      <c r="H1692" s="116"/>
      <c r="I1692" s="116"/>
      <c r="J1692" s="116"/>
    </row>
    <row r="1693" spans="1:10" ht="13.5" customHeight="1">
      <c r="A1693" s="2"/>
      <c r="B1693" s="116"/>
      <c r="C1693" s="116"/>
      <c r="D1693" s="116"/>
      <c r="E1693" s="116"/>
      <c r="F1693" s="116"/>
      <c r="G1693" s="116"/>
      <c r="H1693" s="116"/>
      <c r="I1693" s="116"/>
      <c r="J1693" s="116"/>
    </row>
    <row r="1694" spans="1:10" ht="13.5" customHeight="1">
      <c r="A1694" s="2"/>
      <c r="B1694" s="116"/>
      <c r="C1694" s="116"/>
      <c r="D1694" s="116"/>
      <c r="E1694" s="116"/>
      <c r="F1694" s="116"/>
      <c r="G1694" s="116"/>
      <c r="H1694" s="116"/>
      <c r="I1694" s="116"/>
      <c r="J1694" s="116"/>
    </row>
    <row r="1695" spans="1:10" ht="13.5" customHeight="1">
      <c r="A1695" s="2"/>
      <c r="B1695" s="116"/>
      <c r="C1695" s="116"/>
      <c r="D1695" s="116"/>
      <c r="E1695" s="116"/>
      <c r="F1695" s="116"/>
      <c r="G1695" s="116"/>
      <c r="H1695" s="116"/>
      <c r="I1695" s="116"/>
      <c r="J1695" s="116"/>
    </row>
    <row r="1696" spans="1:10" ht="13.5" customHeight="1">
      <c r="A1696" s="2"/>
      <c r="B1696" s="116"/>
      <c r="C1696" s="116"/>
      <c r="D1696" s="116"/>
      <c r="E1696" s="116"/>
      <c r="F1696" s="116"/>
      <c r="G1696" s="116"/>
      <c r="H1696" s="116"/>
      <c r="I1696" s="116"/>
      <c r="J1696" s="116"/>
    </row>
    <row r="1697" spans="1:10" ht="13.5" customHeight="1">
      <c r="A1697" s="2"/>
      <c r="B1697" s="116"/>
      <c r="C1697" s="116"/>
      <c r="D1697" s="116"/>
      <c r="E1697" s="116"/>
      <c r="F1697" s="116"/>
      <c r="G1697" s="116"/>
      <c r="H1697" s="116"/>
      <c r="I1697" s="116"/>
      <c r="J1697" s="116"/>
    </row>
    <row r="1698" spans="1:10" ht="13.5" customHeight="1">
      <c r="A1698" s="2"/>
      <c r="B1698" s="116"/>
      <c r="C1698" s="116"/>
      <c r="D1698" s="116"/>
      <c r="E1698" s="116"/>
      <c r="F1698" s="116"/>
      <c r="G1698" s="116"/>
      <c r="H1698" s="116"/>
      <c r="I1698" s="116"/>
      <c r="J1698" s="116"/>
    </row>
    <row r="1699" spans="1:10" ht="13.5" customHeight="1">
      <c r="A1699" s="2"/>
      <c r="B1699" s="116"/>
      <c r="C1699" s="116"/>
      <c r="D1699" s="116"/>
      <c r="E1699" s="116"/>
      <c r="F1699" s="116"/>
      <c r="G1699" s="116"/>
      <c r="H1699" s="116"/>
      <c r="I1699" s="116"/>
      <c r="J1699" s="116"/>
    </row>
    <row r="1700" spans="1:10" ht="13.5" customHeight="1">
      <c r="A1700" s="2"/>
      <c r="B1700" s="116"/>
      <c r="C1700" s="116"/>
      <c r="D1700" s="116"/>
      <c r="E1700" s="116"/>
      <c r="F1700" s="116"/>
      <c r="G1700" s="116"/>
      <c r="H1700" s="116"/>
      <c r="I1700" s="116"/>
      <c r="J1700" s="116"/>
    </row>
    <row r="1701" spans="1:10" ht="13.5" customHeight="1">
      <c r="A1701" s="2"/>
      <c r="B1701" s="116"/>
      <c r="C1701" s="116"/>
      <c r="D1701" s="116"/>
      <c r="E1701" s="116"/>
      <c r="F1701" s="116"/>
      <c r="G1701" s="116"/>
      <c r="H1701" s="116"/>
      <c r="I1701" s="116"/>
      <c r="J1701" s="116"/>
    </row>
    <row r="1702" spans="1:10" ht="13.5" customHeight="1">
      <c r="A1702" s="2"/>
      <c r="B1702" s="116"/>
      <c r="C1702" s="116"/>
      <c r="D1702" s="116"/>
      <c r="E1702" s="116"/>
      <c r="F1702" s="116"/>
      <c r="G1702" s="116"/>
      <c r="H1702" s="116"/>
      <c r="I1702" s="116"/>
      <c r="J1702" s="116"/>
    </row>
    <row r="1703" spans="1:10" ht="13.5" customHeight="1">
      <c r="A1703" s="2"/>
      <c r="B1703" s="116"/>
      <c r="C1703" s="116"/>
      <c r="D1703" s="116"/>
      <c r="E1703" s="116"/>
      <c r="F1703" s="116"/>
      <c r="G1703" s="116"/>
      <c r="H1703" s="116"/>
      <c r="I1703" s="116"/>
      <c r="J1703" s="116"/>
    </row>
    <row r="1704" spans="1:10" ht="13.5" customHeight="1">
      <c r="A1704" s="2"/>
      <c r="B1704" s="116"/>
      <c r="C1704" s="116"/>
      <c r="D1704" s="116"/>
      <c r="E1704" s="116"/>
      <c r="F1704" s="116"/>
      <c r="G1704" s="116"/>
      <c r="H1704" s="116"/>
      <c r="I1704" s="116"/>
      <c r="J1704" s="116"/>
    </row>
    <row r="1705" spans="1:10" ht="13.5" customHeight="1">
      <c r="A1705" s="2"/>
      <c r="B1705" s="116"/>
      <c r="C1705" s="116"/>
      <c r="D1705" s="116"/>
      <c r="E1705" s="116"/>
      <c r="F1705" s="116"/>
      <c r="G1705" s="116"/>
      <c r="H1705" s="116"/>
      <c r="I1705" s="116"/>
      <c r="J1705" s="116"/>
    </row>
    <row r="1706" spans="1:10" ht="13.5" customHeight="1">
      <c r="A1706" s="2"/>
      <c r="B1706" s="116"/>
      <c r="C1706" s="116"/>
      <c r="D1706" s="116"/>
      <c r="E1706" s="116"/>
      <c r="F1706" s="116"/>
      <c r="G1706" s="116"/>
      <c r="H1706" s="116"/>
      <c r="I1706" s="116"/>
      <c r="J1706" s="116"/>
    </row>
    <row r="1707" spans="1:10" ht="13.5" customHeight="1">
      <c r="A1707" s="2"/>
      <c r="B1707" s="116"/>
      <c r="C1707" s="116"/>
      <c r="D1707" s="116"/>
      <c r="E1707" s="116"/>
      <c r="F1707" s="116"/>
      <c r="G1707" s="116"/>
      <c r="H1707" s="116"/>
      <c r="I1707" s="116"/>
      <c r="J1707" s="116"/>
    </row>
    <row r="1708" spans="1:10" ht="13.5" customHeight="1">
      <c r="A1708" s="2"/>
      <c r="B1708" s="116"/>
      <c r="C1708" s="116"/>
      <c r="D1708" s="116"/>
      <c r="E1708" s="116"/>
      <c r="F1708" s="116"/>
      <c r="G1708" s="116"/>
      <c r="H1708" s="116"/>
      <c r="I1708" s="116"/>
      <c r="J1708" s="116"/>
    </row>
    <row r="1709" spans="1:10" ht="13.5" customHeight="1">
      <c r="A1709" s="2"/>
      <c r="B1709" s="116"/>
      <c r="C1709" s="116"/>
      <c r="D1709" s="116"/>
      <c r="E1709" s="116"/>
      <c r="F1709" s="116"/>
      <c r="G1709" s="116"/>
      <c r="H1709" s="116"/>
      <c r="I1709" s="116"/>
      <c r="J1709" s="116"/>
    </row>
    <row r="1710" spans="1:10" ht="13.5" customHeight="1">
      <c r="A1710" s="2"/>
      <c r="B1710" s="116"/>
      <c r="C1710" s="116"/>
      <c r="D1710" s="116"/>
      <c r="E1710" s="116"/>
      <c r="F1710" s="116"/>
      <c r="G1710" s="116"/>
      <c r="H1710" s="116"/>
      <c r="I1710" s="116"/>
      <c r="J1710" s="116"/>
    </row>
    <row r="1711" spans="1:10" ht="13.5" customHeight="1">
      <c r="A1711" s="2"/>
      <c r="B1711" s="116"/>
      <c r="C1711" s="116"/>
      <c r="D1711" s="116"/>
      <c r="E1711" s="116"/>
      <c r="F1711" s="116"/>
      <c r="G1711" s="116"/>
      <c r="H1711" s="116"/>
      <c r="I1711" s="116"/>
      <c r="J1711" s="116"/>
    </row>
    <row r="1712" spans="1:10" ht="13.5" customHeight="1">
      <c r="A1712" s="2"/>
      <c r="B1712" s="116"/>
      <c r="C1712" s="116"/>
      <c r="D1712" s="116"/>
      <c r="E1712" s="116"/>
      <c r="F1712" s="116"/>
      <c r="G1712" s="116"/>
      <c r="H1712" s="116"/>
      <c r="I1712" s="116"/>
      <c r="J1712" s="116"/>
    </row>
    <row r="1713" spans="1:10" ht="13.5" customHeight="1">
      <c r="A1713" s="2"/>
      <c r="B1713" s="116"/>
      <c r="C1713" s="116"/>
      <c r="D1713" s="116"/>
      <c r="E1713" s="116"/>
      <c r="F1713" s="116"/>
      <c r="G1713" s="116"/>
      <c r="H1713" s="116"/>
      <c r="I1713" s="116"/>
      <c r="J1713" s="116"/>
    </row>
    <row r="1714" spans="1:10" ht="13.5" customHeight="1">
      <c r="A1714" s="2"/>
      <c r="B1714" s="116"/>
      <c r="C1714" s="116"/>
      <c r="D1714" s="116"/>
      <c r="E1714" s="116"/>
      <c r="F1714" s="116"/>
      <c r="G1714" s="116"/>
      <c r="H1714" s="116"/>
      <c r="I1714" s="116"/>
      <c r="J1714" s="116"/>
    </row>
    <row r="1715" spans="1:10" ht="13.5" customHeight="1">
      <c r="A1715" s="2"/>
      <c r="B1715" s="116"/>
      <c r="C1715" s="116"/>
      <c r="D1715" s="116"/>
      <c r="E1715" s="116"/>
      <c r="F1715" s="116"/>
      <c r="G1715" s="116"/>
      <c r="H1715" s="116"/>
      <c r="I1715" s="116"/>
      <c r="J1715" s="116"/>
    </row>
    <row r="1716" spans="1:10" ht="13.5" customHeight="1">
      <c r="A1716" s="2"/>
      <c r="B1716" s="116"/>
      <c r="C1716" s="116"/>
      <c r="D1716" s="116"/>
      <c r="E1716" s="116"/>
      <c r="F1716" s="116"/>
      <c r="G1716" s="116"/>
      <c r="H1716" s="116"/>
      <c r="I1716" s="116"/>
      <c r="J1716" s="116"/>
    </row>
    <row r="1717" spans="1:10" ht="13.5" customHeight="1">
      <c r="A1717" s="2"/>
      <c r="B1717" s="116"/>
      <c r="C1717" s="116"/>
      <c r="D1717" s="116"/>
      <c r="E1717" s="116"/>
      <c r="F1717" s="116"/>
      <c r="G1717" s="116"/>
      <c r="H1717" s="116"/>
      <c r="I1717" s="116"/>
      <c r="J1717" s="116"/>
    </row>
    <row r="1718" spans="1:10" ht="13.5" customHeight="1">
      <c r="A1718" s="2"/>
      <c r="B1718" s="116"/>
      <c r="C1718" s="116"/>
      <c r="D1718" s="116"/>
      <c r="E1718" s="116"/>
      <c r="F1718" s="116"/>
      <c r="G1718" s="116"/>
      <c r="H1718" s="116"/>
      <c r="I1718" s="116"/>
      <c r="J1718" s="116"/>
    </row>
    <row r="1719" spans="1:10" ht="13.5" customHeight="1">
      <c r="A1719" s="2"/>
      <c r="B1719" s="116"/>
      <c r="C1719" s="116"/>
      <c r="D1719" s="116"/>
      <c r="E1719" s="116"/>
      <c r="F1719" s="116"/>
      <c r="G1719" s="116"/>
      <c r="H1719" s="116"/>
      <c r="I1719" s="116"/>
      <c r="J1719" s="116"/>
    </row>
    <row r="1720" spans="1:10" ht="13.5" customHeight="1">
      <c r="A1720" s="2"/>
      <c r="B1720" s="116"/>
      <c r="C1720" s="116"/>
      <c r="D1720" s="116"/>
      <c r="E1720" s="116"/>
      <c r="F1720" s="116"/>
      <c r="G1720" s="116"/>
      <c r="H1720" s="116"/>
      <c r="I1720" s="116"/>
      <c r="J1720" s="116"/>
    </row>
    <row r="1721" spans="1:10" ht="13.5" customHeight="1">
      <c r="A1721" s="2"/>
      <c r="B1721" s="116"/>
      <c r="C1721" s="116"/>
      <c r="D1721" s="116"/>
      <c r="E1721" s="116"/>
      <c r="F1721" s="116"/>
      <c r="G1721" s="116"/>
      <c r="H1721" s="116"/>
      <c r="I1721" s="116"/>
      <c r="J1721" s="116"/>
    </row>
    <row r="1722" spans="1:10" ht="13.5" customHeight="1">
      <c r="A1722" s="2"/>
      <c r="B1722" s="116"/>
      <c r="C1722" s="116"/>
      <c r="D1722" s="116"/>
      <c r="E1722" s="116"/>
      <c r="F1722" s="116"/>
      <c r="G1722" s="116"/>
      <c r="H1722" s="116"/>
      <c r="I1722" s="116"/>
      <c r="J1722" s="116"/>
    </row>
    <row r="1723" spans="1:10" ht="13.5" customHeight="1">
      <c r="A1723" s="2"/>
      <c r="B1723" s="116"/>
      <c r="C1723" s="116"/>
      <c r="D1723" s="116"/>
      <c r="E1723" s="116"/>
      <c r="F1723" s="116"/>
      <c r="G1723" s="116"/>
      <c r="H1723" s="116"/>
      <c r="I1723" s="116"/>
      <c r="J1723" s="116"/>
    </row>
    <row r="1724" spans="1:10" ht="13.5" customHeight="1">
      <c r="A1724" s="2"/>
      <c r="B1724" s="116"/>
      <c r="C1724" s="116"/>
      <c r="D1724" s="116"/>
      <c r="E1724" s="116"/>
      <c r="F1724" s="116"/>
      <c r="G1724" s="116"/>
      <c r="H1724" s="116"/>
      <c r="I1724" s="116"/>
      <c r="J1724" s="116"/>
    </row>
    <row r="1725" spans="1:10" ht="13.5" customHeight="1">
      <c r="A1725" s="2"/>
      <c r="B1725" s="116"/>
      <c r="C1725" s="116"/>
      <c r="D1725" s="116"/>
      <c r="E1725" s="116"/>
      <c r="F1725" s="116"/>
      <c r="G1725" s="116"/>
      <c r="H1725" s="116"/>
      <c r="I1725" s="116"/>
      <c r="J1725" s="116"/>
    </row>
    <row r="1726" spans="1:10" ht="13.5" customHeight="1">
      <c r="A1726" s="2"/>
      <c r="B1726" s="116"/>
      <c r="C1726" s="116"/>
      <c r="D1726" s="116"/>
      <c r="E1726" s="116"/>
      <c r="F1726" s="116"/>
      <c r="G1726" s="116"/>
      <c r="H1726" s="116"/>
      <c r="I1726" s="116"/>
      <c r="J1726" s="116"/>
    </row>
    <row r="1727" spans="1:10" ht="13.5" customHeight="1">
      <c r="A1727" s="2"/>
      <c r="B1727" s="116"/>
      <c r="C1727" s="116"/>
      <c r="D1727" s="116"/>
      <c r="E1727" s="116"/>
      <c r="F1727" s="116"/>
      <c r="G1727" s="116"/>
      <c r="H1727" s="116"/>
      <c r="I1727" s="116"/>
      <c r="J1727" s="116"/>
    </row>
    <row r="1728" spans="1:10" ht="13.5" customHeight="1">
      <c r="A1728" s="2"/>
      <c r="B1728" s="116"/>
      <c r="C1728" s="116"/>
      <c r="D1728" s="116"/>
      <c r="E1728" s="116"/>
      <c r="F1728" s="116"/>
      <c r="G1728" s="116"/>
      <c r="H1728" s="116"/>
      <c r="I1728" s="116"/>
      <c r="J1728" s="116"/>
    </row>
    <row r="1729" spans="1:10" ht="13.5" customHeight="1">
      <c r="A1729" s="2"/>
      <c r="B1729" s="116"/>
      <c r="C1729" s="116"/>
      <c r="D1729" s="116"/>
      <c r="E1729" s="116"/>
      <c r="F1729" s="116"/>
      <c r="G1729" s="116"/>
      <c r="H1729" s="116"/>
      <c r="I1729" s="116"/>
      <c r="J1729" s="116"/>
    </row>
    <row r="1730" spans="1:10" ht="13.5" customHeight="1">
      <c r="A1730" s="2"/>
      <c r="B1730" s="116"/>
      <c r="C1730" s="116"/>
      <c r="D1730" s="116"/>
      <c r="E1730" s="116"/>
      <c r="F1730" s="116"/>
      <c r="G1730" s="116"/>
      <c r="H1730" s="116"/>
      <c r="I1730" s="116"/>
      <c r="J1730" s="116"/>
    </row>
    <row r="1731" spans="1:10" ht="13.5" customHeight="1">
      <c r="A1731" s="2"/>
      <c r="B1731" s="116"/>
      <c r="C1731" s="116"/>
      <c r="D1731" s="116"/>
      <c r="E1731" s="116"/>
      <c r="F1731" s="116"/>
      <c r="G1731" s="116"/>
      <c r="H1731" s="116"/>
      <c r="I1731" s="116"/>
      <c r="J1731" s="116"/>
    </row>
    <row r="1732" spans="1:10" ht="13.5" customHeight="1">
      <c r="A1732" s="2"/>
      <c r="B1732" s="116"/>
      <c r="C1732" s="116"/>
      <c r="D1732" s="116"/>
      <c r="E1732" s="116"/>
      <c r="F1732" s="116"/>
      <c r="G1732" s="116"/>
      <c r="H1732" s="116"/>
      <c r="I1732" s="116"/>
      <c r="J1732" s="116"/>
    </row>
    <row r="1733" spans="1:10" ht="13.5" customHeight="1">
      <c r="A1733" s="2"/>
      <c r="B1733" s="116"/>
      <c r="C1733" s="116"/>
      <c r="D1733" s="116"/>
      <c r="E1733" s="116"/>
      <c r="F1733" s="116"/>
      <c r="G1733" s="116"/>
      <c r="H1733" s="116"/>
      <c r="I1733" s="116"/>
      <c r="J1733" s="116"/>
    </row>
    <row r="1734" spans="1:10" ht="13.5" customHeight="1">
      <c r="A1734" s="2"/>
      <c r="B1734" s="116"/>
      <c r="C1734" s="116"/>
      <c r="D1734" s="116"/>
      <c r="E1734" s="116"/>
      <c r="F1734" s="116"/>
      <c r="G1734" s="116"/>
      <c r="H1734" s="116"/>
      <c r="I1734" s="116"/>
      <c r="J1734" s="116"/>
    </row>
    <row r="1735" spans="1:10" ht="13.5" customHeight="1">
      <c r="A1735" s="2"/>
      <c r="B1735" s="116"/>
      <c r="C1735" s="116"/>
      <c r="D1735" s="116"/>
      <c r="E1735" s="116"/>
      <c r="F1735" s="116"/>
      <c r="G1735" s="116"/>
      <c r="H1735" s="116"/>
      <c r="I1735" s="116"/>
      <c r="J1735" s="116"/>
    </row>
    <row r="1736" spans="1:10" ht="13.5" customHeight="1">
      <c r="A1736" s="2"/>
      <c r="B1736" s="116"/>
      <c r="C1736" s="116"/>
      <c r="D1736" s="116"/>
      <c r="E1736" s="116"/>
      <c r="F1736" s="116"/>
      <c r="G1736" s="116"/>
      <c r="H1736" s="116"/>
      <c r="I1736" s="116"/>
      <c r="J1736" s="116"/>
    </row>
    <row r="1737" spans="1:10" ht="13.5" customHeight="1">
      <c r="A1737" s="2"/>
      <c r="B1737" s="116"/>
      <c r="C1737" s="116"/>
      <c r="D1737" s="116"/>
      <c r="E1737" s="116"/>
      <c r="F1737" s="116"/>
      <c r="G1737" s="116"/>
      <c r="H1737" s="116"/>
      <c r="I1737" s="116"/>
      <c r="J1737" s="116"/>
    </row>
    <row r="1738" spans="1:10" ht="13.5" customHeight="1">
      <c r="A1738" s="2"/>
      <c r="B1738" s="116"/>
      <c r="C1738" s="116"/>
      <c r="D1738" s="116"/>
      <c r="E1738" s="116"/>
      <c r="F1738" s="116"/>
      <c r="G1738" s="116"/>
      <c r="H1738" s="116"/>
      <c r="I1738" s="116"/>
      <c r="J1738" s="116"/>
    </row>
    <row r="1739" spans="1:10" ht="13.5" customHeight="1">
      <c r="A1739" s="2"/>
      <c r="B1739" s="116"/>
      <c r="C1739" s="116"/>
      <c r="D1739" s="116"/>
      <c r="E1739" s="116"/>
      <c r="F1739" s="116"/>
      <c r="G1739" s="116"/>
      <c r="H1739" s="116"/>
      <c r="I1739" s="116"/>
      <c r="J1739" s="116"/>
    </row>
    <row r="1740" spans="1:10" ht="13.5" customHeight="1">
      <c r="A1740" s="2"/>
      <c r="B1740" s="116"/>
      <c r="C1740" s="116"/>
      <c r="D1740" s="116"/>
      <c r="E1740" s="116"/>
      <c r="F1740" s="116"/>
      <c r="G1740" s="116"/>
      <c r="H1740" s="116"/>
      <c r="I1740" s="116"/>
      <c r="J1740" s="116"/>
    </row>
    <row r="1741" spans="1:10" ht="13.5" customHeight="1">
      <c r="A1741" s="2"/>
      <c r="B1741" s="116"/>
      <c r="C1741" s="116"/>
      <c r="D1741" s="116"/>
      <c r="E1741" s="116"/>
      <c r="F1741" s="116"/>
      <c r="G1741" s="116"/>
      <c r="H1741" s="116"/>
      <c r="I1741" s="116"/>
      <c r="J1741" s="116"/>
    </row>
    <row r="1742" spans="1:10" ht="13.5" customHeight="1">
      <c r="A1742" s="2"/>
      <c r="B1742" s="116"/>
      <c r="C1742" s="116"/>
      <c r="D1742" s="116"/>
      <c r="E1742" s="116"/>
      <c r="F1742" s="116"/>
      <c r="G1742" s="116"/>
      <c r="H1742" s="116"/>
      <c r="I1742" s="116"/>
      <c r="J1742" s="116"/>
    </row>
    <row r="1743" spans="1:10" ht="13.5" customHeight="1">
      <c r="A1743" s="2"/>
      <c r="B1743" s="116"/>
      <c r="C1743" s="116"/>
      <c r="D1743" s="116"/>
      <c r="E1743" s="116"/>
      <c r="F1743" s="116"/>
      <c r="G1743" s="116"/>
      <c r="H1743" s="116"/>
      <c r="I1743" s="116"/>
      <c r="J1743" s="116"/>
    </row>
    <row r="1744" spans="1:10" ht="13.5" customHeight="1">
      <c r="A1744" s="2"/>
      <c r="B1744" s="116"/>
      <c r="C1744" s="116"/>
      <c r="D1744" s="116"/>
      <c r="E1744" s="116"/>
      <c r="F1744" s="116"/>
      <c r="G1744" s="116"/>
      <c r="H1744" s="116"/>
      <c r="I1744" s="116"/>
      <c r="J1744" s="116"/>
    </row>
    <row r="1745" spans="1:10" ht="13.5" customHeight="1">
      <c r="A1745" s="2"/>
      <c r="B1745" s="116"/>
      <c r="C1745" s="116"/>
      <c r="D1745" s="116"/>
      <c r="E1745" s="116"/>
      <c r="F1745" s="116"/>
      <c r="G1745" s="116"/>
      <c r="H1745" s="116"/>
      <c r="I1745" s="116"/>
      <c r="J1745" s="116"/>
    </row>
    <row r="1746" spans="1:10" ht="13.5" customHeight="1">
      <c r="A1746" s="2"/>
      <c r="B1746" s="116"/>
      <c r="C1746" s="116"/>
      <c r="D1746" s="116"/>
      <c r="E1746" s="116"/>
      <c r="F1746" s="116"/>
      <c r="G1746" s="116"/>
      <c r="H1746" s="116"/>
      <c r="I1746" s="116"/>
      <c r="J1746" s="116"/>
    </row>
    <row r="1747" spans="1:10" ht="13.5" customHeight="1">
      <c r="A1747" s="2"/>
      <c r="B1747" s="116"/>
      <c r="C1747" s="116"/>
      <c r="D1747" s="116"/>
      <c r="E1747" s="116"/>
      <c r="F1747" s="116"/>
      <c r="G1747" s="116"/>
      <c r="H1747" s="116"/>
      <c r="I1747" s="116"/>
      <c r="J1747" s="116"/>
    </row>
    <row r="1748" spans="1:10" ht="13.5" customHeight="1">
      <c r="A1748" s="2"/>
      <c r="B1748" s="116"/>
      <c r="C1748" s="116"/>
      <c r="D1748" s="116"/>
      <c r="E1748" s="116"/>
      <c r="F1748" s="116"/>
      <c r="G1748" s="116"/>
      <c r="H1748" s="116"/>
      <c r="I1748" s="116"/>
      <c r="J1748" s="116"/>
    </row>
    <row r="1749" spans="1:10" ht="13.5" customHeight="1">
      <c r="A1749" s="2"/>
      <c r="B1749" s="116"/>
      <c r="C1749" s="116"/>
      <c r="D1749" s="116"/>
      <c r="E1749" s="116"/>
      <c r="F1749" s="116"/>
      <c r="G1749" s="116"/>
      <c r="H1749" s="116"/>
      <c r="I1749" s="116"/>
      <c r="J1749" s="116"/>
    </row>
    <row r="1750" spans="1:10" ht="13.5" customHeight="1">
      <c r="A1750" s="2"/>
      <c r="B1750" s="116"/>
      <c r="C1750" s="116"/>
      <c r="D1750" s="116"/>
      <c r="E1750" s="116"/>
      <c r="F1750" s="116"/>
      <c r="G1750" s="116"/>
      <c r="H1750" s="116"/>
      <c r="I1750" s="116"/>
      <c r="J1750" s="116"/>
    </row>
    <row r="1751" spans="1:10" ht="13.5" customHeight="1">
      <c r="A1751" s="2"/>
      <c r="B1751" s="116"/>
      <c r="C1751" s="116"/>
      <c r="D1751" s="116"/>
      <c r="E1751" s="116"/>
      <c r="F1751" s="116"/>
      <c r="G1751" s="116"/>
      <c r="H1751" s="116"/>
      <c r="I1751" s="116"/>
      <c r="J1751" s="116"/>
    </row>
    <row r="1752" spans="1:10" ht="13.5" customHeight="1">
      <c r="A1752" s="2"/>
      <c r="B1752" s="116"/>
      <c r="C1752" s="116"/>
      <c r="D1752" s="116"/>
      <c r="E1752" s="116"/>
      <c r="F1752" s="116"/>
      <c r="G1752" s="116"/>
      <c r="H1752" s="116"/>
      <c r="I1752" s="116"/>
      <c r="J1752" s="116"/>
    </row>
    <row r="1753" spans="1:10" ht="13.5" customHeight="1">
      <c r="A1753" s="2"/>
      <c r="B1753" s="116"/>
      <c r="C1753" s="116"/>
      <c r="D1753" s="116"/>
      <c r="E1753" s="116"/>
      <c r="F1753" s="116"/>
      <c r="G1753" s="116"/>
      <c r="H1753" s="116"/>
      <c r="I1753" s="116"/>
      <c r="J1753" s="116"/>
    </row>
    <row r="1754" spans="1:10" ht="13.5" customHeight="1">
      <c r="A1754" s="2"/>
      <c r="B1754" s="116"/>
      <c r="C1754" s="116"/>
      <c r="D1754" s="116"/>
      <c r="E1754" s="116"/>
      <c r="F1754" s="116"/>
      <c r="G1754" s="116"/>
      <c r="H1754" s="116"/>
      <c r="I1754" s="116"/>
      <c r="J1754" s="116"/>
    </row>
    <row r="1755" spans="1:10" ht="13.5" customHeight="1">
      <c r="A1755" s="2"/>
      <c r="B1755" s="116"/>
      <c r="C1755" s="116"/>
      <c r="D1755" s="116"/>
      <c r="E1755" s="116"/>
      <c r="F1755" s="116"/>
      <c r="G1755" s="116"/>
      <c r="H1755" s="116"/>
      <c r="I1755" s="116"/>
      <c r="J1755" s="116"/>
    </row>
    <row r="1756" spans="1:10" ht="13.5" customHeight="1">
      <c r="A1756" s="2"/>
      <c r="B1756" s="116"/>
      <c r="C1756" s="116"/>
      <c r="D1756" s="116"/>
      <c r="E1756" s="116"/>
      <c r="F1756" s="116"/>
      <c r="G1756" s="116"/>
      <c r="H1756" s="116"/>
      <c r="I1756" s="116"/>
      <c r="J1756" s="116"/>
    </row>
    <row r="1757" spans="1:10" ht="13.5" customHeight="1">
      <c r="A1757" s="2"/>
      <c r="B1757" s="116"/>
      <c r="C1757" s="116"/>
      <c r="D1757" s="116"/>
      <c r="E1757" s="116"/>
      <c r="F1757" s="116"/>
      <c r="G1757" s="116"/>
      <c r="H1757" s="116"/>
      <c r="I1757" s="116"/>
      <c r="J1757" s="116"/>
    </row>
    <row r="1758" spans="1:10" ht="13.5" customHeight="1">
      <c r="A1758" s="2"/>
      <c r="B1758" s="116"/>
      <c r="C1758" s="116"/>
      <c r="D1758" s="116"/>
      <c r="E1758" s="116"/>
      <c r="F1758" s="116"/>
      <c r="G1758" s="116"/>
      <c r="H1758" s="116"/>
      <c r="I1758" s="116"/>
      <c r="J1758" s="116"/>
    </row>
    <row r="1759" spans="1:10" ht="13.5" customHeight="1">
      <c r="A1759" s="2"/>
      <c r="B1759" s="116"/>
      <c r="C1759" s="116"/>
      <c r="D1759" s="116"/>
      <c r="E1759" s="116"/>
      <c r="F1759" s="116"/>
      <c r="G1759" s="116"/>
      <c r="H1759" s="116"/>
      <c r="I1759" s="116"/>
      <c r="J1759" s="116"/>
    </row>
    <row r="1760" spans="1:10" ht="13.5" customHeight="1">
      <c r="A1760" s="2"/>
      <c r="B1760" s="116"/>
      <c r="C1760" s="116"/>
      <c r="D1760" s="116"/>
      <c r="E1760" s="116"/>
      <c r="F1760" s="116"/>
      <c r="G1760" s="116"/>
      <c r="H1760" s="116"/>
      <c r="I1760" s="116"/>
      <c r="J1760" s="116"/>
    </row>
    <row r="1761" spans="1:10" ht="13.5" customHeight="1">
      <c r="A1761" s="2"/>
      <c r="B1761" s="116"/>
      <c r="C1761" s="116"/>
      <c r="D1761" s="116"/>
      <c r="E1761" s="116"/>
      <c r="F1761" s="116"/>
      <c r="G1761" s="116"/>
      <c r="H1761" s="116"/>
      <c r="I1761" s="116"/>
      <c r="J1761" s="116"/>
    </row>
    <row r="1762" spans="1:10" ht="13.5" customHeight="1">
      <c r="A1762" s="2"/>
      <c r="B1762" s="116"/>
      <c r="C1762" s="116"/>
      <c r="D1762" s="116"/>
      <c r="E1762" s="116"/>
      <c r="F1762" s="116"/>
      <c r="G1762" s="116"/>
      <c r="H1762" s="116"/>
      <c r="I1762" s="116"/>
      <c r="J1762" s="116"/>
    </row>
    <row r="1763" spans="1:10" ht="13.5" customHeight="1">
      <c r="A1763" s="2"/>
      <c r="B1763" s="116"/>
      <c r="C1763" s="116"/>
      <c r="D1763" s="116"/>
      <c r="E1763" s="116"/>
      <c r="F1763" s="116"/>
      <c r="G1763" s="116"/>
      <c r="H1763" s="116"/>
      <c r="I1763" s="116"/>
      <c r="J1763" s="116"/>
    </row>
    <row r="1764" spans="1:10" ht="13.5" customHeight="1">
      <c r="A1764" s="2"/>
      <c r="B1764" s="116"/>
      <c r="C1764" s="116"/>
      <c r="D1764" s="116"/>
      <c r="E1764" s="116"/>
      <c r="F1764" s="116"/>
      <c r="G1764" s="116"/>
      <c r="H1764" s="116"/>
      <c r="I1764" s="116"/>
      <c r="J1764" s="116"/>
    </row>
    <row r="1765" spans="1:10" ht="13.5" customHeight="1">
      <c r="A1765" s="2"/>
      <c r="B1765" s="116"/>
      <c r="C1765" s="116"/>
      <c r="D1765" s="116"/>
      <c r="E1765" s="116"/>
      <c r="F1765" s="116"/>
      <c r="G1765" s="116"/>
      <c r="H1765" s="116"/>
      <c r="I1765" s="116"/>
      <c r="J1765" s="116"/>
    </row>
    <row r="1766" spans="1:10" ht="13.5" customHeight="1">
      <c r="A1766" s="2"/>
      <c r="B1766" s="116"/>
      <c r="C1766" s="116"/>
      <c r="D1766" s="116"/>
      <c r="E1766" s="116"/>
      <c r="F1766" s="116"/>
      <c r="G1766" s="116"/>
      <c r="H1766" s="116"/>
      <c r="I1766" s="116"/>
      <c r="J1766" s="116"/>
    </row>
    <row r="1767" spans="1:10" ht="13.5" customHeight="1">
      <c r="A1767" s="2"/>
      <c r="B1767" s="116"/>
      <c r="C1767" s="116"/>
      <c r="D1767" s="116"/>
      <c r="E1767" s="116"/>
      <c r="F1767" s="116"/>
      <c r="G1767" s="116"/>
      <c r="H1767" s="116"/>
      <c r="I1767" s="116"/>
      <c r="J1767" s="116"/>
    </row>
    <row r="1768" spans="1:10" ht="13.5" customHeight="1">
      <c r="A1768" s="2"/>
      <c r="B1768" s="116"/>
      <c r="C1768" s="116"/>
      <c r="D1768" s="116"/>
      <c r="E1768" s="116"/>
      <c r="F1768" s="116"/>
      <c r="G1768" s="116"/>
      <c r="H1768" s="116"/>
      <c r="I1768" s="116"/>
      <c r="J1768" s="116"/>
    </row>
    <row r="1769" spans="1:10" ht="13.5" customHeight="1">
      <c r="A1769" s="2"/>
      <c r="B1769" s="116"/>
      <c r="C1769" s="116"/>
      <c r="D1769" s="116"/>
      <c r="E1769" s="116"/>
      <c r="F1769" s="116"/>
      <c r="G1769" s="116"/>
      <c r="H1769" s="116"/>
      <c r="I1769" s="116"/>
      <c r="J1769" s="116"/>
    </row>
    <row r="1770" spans="1:10" ht="13.5" customHeight="1">
      <c r="A1770" s="2"/>
      <c r="B1770" s="116"/>
      <c r="C1770" s="116"/>
      <c r="D1770" s="116"/>
      <c r="E1770" s="116"/>
      <c r="F1770" s="116"/>
      <c r="G1770" s="116"/>
      <c r="H1770" s="116"/>
      <c r="I1770" s="116"/>
      <c r="J1770" s="116"/>
    </row>
    <row r="1771" spans="1:10" ht="13.5" customHeight="1">
      <c r="A1771" s="2"/>
      <c r="B1771" s="116"/>
      <c r="C1771" s="116"/>
      <c r="D1771" s="116"/>
      <c r="E1771" s="116"/>
      <c r="F1771" s="116"/>
      <c r="G1771" s="116"/>
      <c r="H1771" s="116"/>
      <c r="I1771" s="116"/>
      <c r="J1771" s="116"/>
    </row>
    <row r="1772" spans="1:10" ht="13.5" customHeight="1">
      <c r="A1772" s="2"/>
      <c r="B1772" s="116"/>
      <c r="C1772" s="116"/>
      <c r="D1772" s="116"/>
      <c r="E1772" s="116"/>
      <c r="F1772" s="116"/>
      <c r="G1772" s="116"/>
      <c r="H1772" s="116"/>
      <c r="I1772" s="116"/>
      <c r="J1772" s="116"/>
    </row>
    <row r="1773" spans="1:10" ht="13.5" customHeight="1">
      <c r="A1773" s="2"/>
      <c r="B1773" s="116"/>
      <c r="C1773" s="116"/>
      <c r="D1773" s="116"/>
      <c r="E1773" s="116"/>
      <c r="F1773" s="116"/>
      <c r="G1773" s="116"/>
      <c r="H1773" s="116"/>
      <c r="I1773" s="116"/>
      <c r="J1773" s="116"/>
    </row>
    <row r="1774" spans="1:10" ht="13.5" customHeight="1">
      <c r="A1774" s="2"/>
      <c r="B1774" s="116"/>
      <c r="C1774" s="116"/>
      <c r="D1774" s="116"/>
      <c r="E1774" s="116"/>
      <c r="F1774" s="116"/>
      <c r="G1774" s="116"/>
      <c r="H1774" s="116"/>
      <c r="I1774" s="116"/>
      <c r="J1774" s="116"/>
    </row>
    <row r="1775" spans="1:10" ht="13.5" customHeight="1">
      <c r="A1775" s="2"/>
      <c r="B1775" s="116"/>
      <c r="C1775" s="116"/>
      <c r="D1775" s="116"/>
      <c r="E1775" s="116"/>
      <c r="F1775" s="116"/>
      <c r="G1775" s="116"/>
      <c r="H1775" s="116"/>
      <c r="I1775" s="116"/>
      <c r="J1775" s="116"/>
    </row>
    <row r="1776" spans="1:10" ht="13.5" customHeight="1">
      <c r="A1776" s="2"/>
      <c r="B1776" s="116"/>
      <c r="C1776" s="116"/>
      <c r="D1776" s="116"/>
      <c r="E1776" s="116"/>
      <c r="F1776" s="116"/>
      <c r="G1776" s="116"/>
      <c r="H1776" s="116"/>
      <c r="I1776" s="116"/>
      <c r="J1776" s="116"/>
    </row>
    <row r="1777" spans="1:10" ht="13.5" customHeight="1">
      <c r="A1777" s="2"/>
      <c r="B1777" s="116"/>
      <c r="C1777" s="116"/>
      <c r="D1777" s="116"/>
      <c r="E1777" s="116"/>
      <c r="F1777" s="116"/>
      <c r="G1777" s="116"/>
      <c r="H1777" s="116"/>
      <c r="I1777" s="116"/>
      <c r="J1777" s="116"/>
    </row>
    <row r="1778" spans="1:10" ht="13.5" customHeight="1">
      <c r="A1778" s="2"/>
      <c r="B1778" s="116"/>
      <c r="C1778" s="116"/>
      <c r="D1778" s="116"/>
      <c r="E1778" s="116"/>
      <c r="F1778" s="116"/>
      <c r="G1778" s="116"/>
      <c r="H1778" s="116"/>
      <c r="I1778" s="116"/>
      <c r="J1778" s="116"/>
    </row>
    <row r="1779" spans="1:10" ht="13.5" customHeight="1">
      <c r="A1779" s="2"/>
      <c r="B1779" s="116"/>
      <c r="C1779" s="116"/>
      <c r="D1779" s="116"/>
      <c r="E1779" s="116"/>
      <c r="F1779" s="116"/>
      <c r="G1779" s="116"/>
      <c r="H1779" s="116"/>
      <c r="I1779" s="116"/>
      <c r="J1779" s="116"/>
    </row>
    <row r="1780" spans="1:10" ht="13.5" customHeight="1">
      <c r="A1780" s="2"/>
      <c r="B1780" s="116"/>
      <c r="C1780" s="116"/>
      <c r="D1780" s="116"/>
      <c r="E1780" s="116"/>
      <c r="F1780" s="116"/>
      <c r="G1780" s="116"/>
      <c r="H1780" s="116"/>
      <c r="I1780" s="116"/>
      <c r="J1780" s="116"/>
    </row>
    <row r="1781" spans="1:10" ht="13.5" customHeight="1">
      <c r="A1781" s="2"/>
      <c r="B1781" s="116"/>
      <c r="C1781" s="116"/>
      <c r="D1781" s="116"/>
      <c r="E1781" s="116"/>
      <c r="F1781" s="116"/>
      <c r="G1781" s="116"/>
      <c r="H1781" s="116"/>
      <c r="I1781" s="116"/>
      <c r="J1781" s="116"/>
    </row>
    <row r="1782" spans="1:10" ht="13.5" customHeight="1">
      <c r="A1782" s="2"/>
      <c r="B1782" s="116"/>
      <c r="C1782" s="116"/>
      <c r="D1782" s="116"/>
      <c r="E1782" s="116"/>
      <c r="F1782" s="116"/>
      <c r="G1782" s="116"/>
      <c r="H1782" s="116"/>
      <c r="I1782" s="116"/>
      <c r="J1782" s="116"/>
    </row>
    <row r="1783" spans="1:10" ht="13.5" customHeight="1">
      <c r="A1783" s="2"/>
      <c r="B1783" s="116"/>
      <c r="C1783" s="116"/>
      <c r="D1783" s="116"/>
      <c r="E1783" s="116"/>
      <c r="F1783" s="116"/>
      <c r="G1783" s="116"/>
      <c r="H1783" s="116"/>
      <c r="I1783" s="116"/>
      <c r="J1783" s="116"/>
    </row>
    <row r="1784" spans="1:10" ht="13.5" customHeight="1">
      <c r="A1784" s="2"/>
      <c r="B1784" s="116"/>
      <c r="C1784" s="116"/>
      <c r="D1784" s="116"/>
      <c r="E1784" s="116"/>
      <c r="F1784" s="116"/>
      <c r="G1784" s="116"/>
      <c r="H1784" s="116"/>
      <c r="I1784" s="116"/>
      <c r="J1784" s="116"/>
    </row>
    <row r="1785" spans="1:10" ht="13.5" customHeight="1">
      <c r="A1785" s="2"/>
      <c r="B1785" s="116"/>
      <c r="C1785" s="116"/>
      <c r="D1785" s="116"/>
      <c r="E1785" s="116"/>
      <c r="F1785" s="116"/>
      <c r="G1785" s="116"/>
      <c r="H1785" s="116"/>
      <c r="I1785" s="116"/>
      <c r="J1785" s="116"/>
    </row>
    <row r="1786" spans="1:10" ht="13.5" customHeight="1">
      <c r="A1786" s="2"/>
      <c r="B1786" s="116"/>
      <c r="C1786" s="116"/>
      <c r="D1786" s="116"/>
      <c r="E1786" s="116"/>
      <c r="F1786" s="116"/>
      <c r="G1786" s="116"/>
      <c r="H1786" s="116"/>
      <c r="I1786" s="116"/>
      <c r="J1786" s="116"/>
    </row>
    <row r="1787" spans="1:10" ht="13.5" customHeight="1">
      <c r="A1787" s="2"/>
      <c r="B1787" s="116"/>
      <c r="C1787" s="116"/>
      <c r="D1787" s="116"/>
      <c r="E1787" s="116"/>
      <c r="F1787" s="116"/>
      <c r="G1787" s="116"/>
      <c r="H1787" s="116"/>
      <c r="I1787" s="116"/>
      <c r="J1787" s="116"/>
    </row>
    <row r="1788" spans="1:10" ht="13.5" customHeight="1">
      <c r="A1788" s="2"/>
      <c r="B1788" s="116"/>
      <c r="C1788" s="116"/>
      <c r="D1788" s="116"/>
      <c r="E1788" s="116"/>
      <c r="F1788" s="116"/>
      <c r="G1788" s="116"/>
      <c r="H1788" s="116"/>
      <c r="I1788" s="116"/>
      <c r="J1788" s="116"/>
    </row>
    <row r="1789" spans="1:10" ht="13.5" customHeight="1">
      <c r="A1789" s="2"/>
      <c r="B1789" s="116"/>
      <c r="C1789" s="116"/>
      <c r="D1789" s="116"/>
      <c r="E1789" s="116"/>
      <c r="F1789" s="116"/>
      <c r="G1789" s="116"/>
      <c r="H1789" s="116"/>
      <c r="I1789" s="116"/>
      <c r="J1789" s="116"/>
    </row>
    <row r="1790" spans="1:10" ht="13.5" customHeight="1">
      <c r="A1790" s="2"/>
      <c r="B1790" s="116"/>
      <c r="C1790" s="116"/>
      <c r="D1790" s="116"/>
      <c r="E1790" s="116"/>
      <c r="F1790" s="116"/>
      <c r="G1790" s="116"/>
      <c r="H1790" s="116"/>
      <c r="I1790" s="116"/>
      <c r="J1790" s="116"/>
    </row>
    <row r="1791" spans="1:10" ht="13.5" customHeight="1">
      <c r="A1791" s="2"/>
      <c r="B1791" s="116"/>
      <c r="C1791" s="116"/>
      <c r="D1791" s="116"/>
      <c r="E1791" s="116"/>
      <c r="F1791" s="116"/>
      <c r="G1791" s="116"/>
      <c r="H1791" s="116"/>
      <c r="I1791" s="116"/>
      <c r="J1791" s="116"/>
    </row>
    <row r="1792" spans="1:10" ht="13.5" customHeight="1">
      <c r="A1792" s="2"/>
      <c r="B1792" s="116"/>
      <c r="C1792" s="116"/>
      <c r="D1792" s="116"/>
      <c r="E1792" s="116"/>
      <c r="F1792" s="116"/>
      <c r="G1792" s="116"/>
      <c r="H1792" s="116"/>
      <c r="I1792" s="116"/>
      <c r="J1792" s="116"/>
    </row>
    <row r="1793" spans="1:10" ht="13.5" customHeight="1">
      <c r="A1793" s="2"/>
      <c r="B1793" s="116"/>
      <c r="C1793" s="116"/>
      <c r="D1793" s="116"/>
      <c r="E1793" s="116"/>
      <c r="F1793" s="116"/>
      <c r="G1793" s="116"/>
      <c r="H1793" s="116"/>
      <c r="I1793" s="116"/>
      <c r="J1793" s="116"/>
    </row>
    <row r="1794" spans="1:10" ht="13.5" customHeight="1">
      <c r="A1794" s="2"/>
      <c r="B1794" s="116"/>
      <c r="C1794" s="116"/>
      <c r="D1794" s="116"/>
      <c r="E1794" s="116"/>
      <c r="F1794" s="116"/>
      <c r="G1794" s="116"/>
      <c r="H1794" s="116"/>
      <c r="I1794" s="116"/>
      <c r="J1794" s="116"/>
    </row>
    <row r="1795" spans="1:10" ht="13.5" customHeight="1">
      <c r="A1795" s="2"/>
      <c r="B1795" s="116"/>
      <c r="C1795" s="116"/>
      <c r="D1795" s="116"/>
      <c r="E1795" s="116"/>
      <c r="F1795" s="116"/>
      <c r="G1795" s="116"/>
      <c r="H1795" s="116"/>
      <c r="I1795" s="116"/>
      <c r="J1795" s="116"/>
    </row>
    <row r="1796" spans="1:10" ht="13.5" customHeight="1">
      <c r="A1796" s="2"/>
      <c r="B1796" s="116"/>
      <c r="C1796" s="116"/>
      <c r="D1796" s="116"/>
      <c r="E1796" s="116"/>
      <c r="F1796" s="116"/>
      <c r="G1796" s="116"/>
      <c r="H1796" s="116"/>
      <c r="I1796" s="116"/>
      <c r="J1796" s="116"/>
    </row>
    <row r="1797" spans="1:10" ht="13.5" customHeight="1">
      <c r="A1797" s="2"/>
      <c r="B1797" s="116"/>
      <c r="C1797" s="116"/>
      <c r="D1797" s="116"/>
      <c r="E1797" s="116"/>
      <c r="F1797" s="116"/>
      <c r="G1797" s="116"/>
      <c r="H1797" s="116"/>
      <c r="I1797" s="116"/>
      <c r="J1797" s="116"/>
    </row>
    <row r="1798" spans="1:10" ht="13.5" customHeight="1">
      <c r="A1798" s="2"/>
      <c r="B1798" s="116"/>
      <c r="C1798" s="116"/>
      <c r="D1798" s="116"/>
      <c r="E1798" s="116"/>
      <c r="F1798" s="116"/>
      <c r="G1798" s="116"/>
      <c r="H1798" s="116"/>
      <c r="I1798" s="116"/>
      <c r="J1798" s="116"/>
    </row>
    <row r="1799" spans="1:10" ht="13.5" customHeight="1">
      <c r="A1799" s="2"/>
      <c r="B1799" s="116"/>
      <c r="C1799" s="116"/>
      <c r="D1799" s="116"/>
      <c r="E1799" s="116"/>
      <c r="F1799" s="116"/>
      <c r="G1799" s="116"/>
      <c r="H1799" s="116"/>
      <c r="I1799" s="116"/>
      <c r="J1799" s="116"/>
    </row>
    <row r="1800" spans="1:10" ht="13.5" customHeight="1">
      <c r="A1800" s="2"/>
      <c r="B1800" s="116"/>
      <c r="C1800" s="116"/>
      <c r="D1800" s="116"/>
      <c r="E1800" s="116"/>
      <c r="F1800" s="116"/>
      <c r="G1800" s="116"/>
      <c r="H1800" s="116"/>
      <c r="I1800" s="116"/>
      <c r="J1800" s="116"/>
    </row>
    <row r="1801" spans="1:10" ht="13.5" customHeight="1">
      <c r="A1801" s="2"/>
      <c r="B1801" s="116"/>
      <c r="C1801" s="116"/>
      <c r="D1801" s="116"/>
      <c r="E1801" s="116"/>
      <c r="F1801" s="116"/>
      <c r="G1801" s="116"/>
      <c r="H1801" s="116"/>
      <c r="I1801" s="116"/>
      <c r="J1801" s="116"/>
    </row>
    <row r="1802" spans="1:10" ht="13.5" customHeight="1">
      <c r="A1802" s="2"/>
      <c r="B1802" s="116"/>
      <c r="C1802" s="116"/>
      <c r="D1802" s="116"/>
      <c r="E1802" s="116"/>
      <c r="F1802" s="116"/>
      <c r="G1802" s="116"/>
      <c r="H1802" s="116"/>
      <c r="I1802" s="116"/>
      <c r="J1802" s="116"/>
    </row>
    <row r="1803" spans="1:10" ht="13.5" customHeight="1">
      <c r="A1803" s="2"/>
      <c r="B1803" s="116"/>
      <c r="C1803" s="116"/>
      <c r="D1803" s="116"/>
      <c r="E1803" s="116"/>
      <c r="F1803" s="116"/>
      <c r="G1803" s="116"/>
      <c r="H1803" s="116"/>
      <c r="I1803" s="116"/>
      <c r="J1803" s="116"/>
    </row>
    <row r="1804" spans="1:10" ht="13.5" customHeight="1">
      <c r="A1804" s="2"/>
      <c r="B1804" s="116"/>
      <c r="C1804" s="116"/>
      <c r="D1804" s="116"/>
      <c r="E1804" s="116"/>
      <c r="F1804" s="116"/>
      <c r="G1804" s="116"/>
      <c r="H1804" s="116"/>
      <c r="I1804" s="116"/>
      <c r="J1804" s="116"/>
    </row>
    <row r="1805" spans="1:10" ht="13.5" customHeight="1">
      <c r="A1805" s="2"/>
      <c r="B1805" s="116"/>
      <c r="C1805" s="116"/>
      <c r="D1805" s="116"/>
      <c r="E1805" s="116"/>
      <c r="F1805" s="116"/>
      <c r="G1805" s="116"/>
      <c r="H1805" s="116"/>
      <c r="I1805" s="116"/>
      <c r="J1805" s="116"/>
    </row>
    <row r="1806" spans="1:10" ht="13.5" customHeight="1">
      <c r="A1806" s="2"/>
      <c r="B1806" s="116"/>
      <c r="C1806" s="116"/>
      <c r="D1806" s="116"/>
      <c r="E1806" s="116"/>
      <c r="F1806" s="116"/>
      <c r="G1806" s="116"/>
      <c r="H1806" s="116"/>
      <c r="I1806" s="116"/>
      <c r="J1806" s="116"/>
    </row>
    <row r="1807" spans="1:10" ht="13.5" customHeight="1">
      <c r="A1807" s="2"/>
      <c r="B1807" s="116"/>
      <c r="C1807" s="116"/>
      <c r="D1807" s="116"/>
      <c r="E1807" s="116"/>
      <c r="F1807" s="116"/>
      <c r="G1807" s="116"/>
      <c r="H1807" s="116"/>
      <c r="I1807" s="116"/>
      <c r="J1807" s="116"/>
    </row>
    <row r="1808" spans="1:10" ht="13.5" customHeight="1">
      <c r="A1808" s="2"/>
      <c r="B1808" s="116"/>
      <c r="C1808" s="116"/>
      <c r="D1808" s="116"/>
      <c r="E1808" s="116"/>
      <c r="F1808" s="116"/>
      <c r="G1808" s="116"/>
      <c r="H1808" s="116"/>
      <c r="I1808" s="116"/>
      <c r="J1808" s="116"/>
    </row>
    <row r="1809" spans="1:10" ht="13.5" customHeight="1">
      <c r="A1809" s="2"/>
      <c r="B1809" s="116"/>
      <c r="C1809" s="116"/>
      <c r="D1809" s="116"/>
      <c r="E1809" s="116"/>
      <c r="F1809" s="116"/>
      <c r="G1809" s="116"/>
      <c r="H1809" s="116"/>
      <c r="I1809" s="116"/>
      <c r="J1809" s="116"/>
    </row>
    <row r="1810" spans="1:10" ht="13.5" customHeight="1">
      <c r="A1810" s="2"/>
      <c r="B1810" s="116"/>
      <c r="C1810" s="116"/>
      <c r="D1810" s="116"/>
      <c r="E1810" s="116"/>
      <c r="F1810" s="116"/>
      <c r="G1810" s="116"/>
      <c r="H1810" s="116"/>
      <c r="I1810" s="116"/>
      <c r="J1810" s="116"/>
    </row>
    <row r="1811" spans="1:10" ht="13.5" customHeight="1">
      <c r="A1811" s="2"/>
      <c r="B1811" s="116"/>
      <c r="C1811" s="116"/>
      <c r="D1811" s="116"/>
      <c r="E1811" s="116"/>
      <c r="F1811" s="116"/>
      <c r="G1811" s="116"/>
      <c r="H1811" s="116"/>
      <c r="I1811" s="116"/>
      <c r="J1811" s="116"/>
    </row>
    <row r="1812" spans="1:10" ht="13.5" customHeight="1">
      <c r="A1812" s="2"/>
      <c r="B1812" s="116"/>
      <c r="C1812" s="116"/>
      <c r="D1812" s="116"/>
      <c r="E1812" s="116"/>
      <c r="F1812" s="116"/>
      <c r="G1812" s="116"/>
      <c r="H1812" s="116"/>
      <c r="I1812" s="116"/>
      <c r="J1812" s="116"/>
    </row>
    <row r="1813" spans="1:10" ht="13.5" customHeight="1">
      <c r="A1813" s="2"/>
      <c r="B1813" s="116"/>
      <c r="C1813" s="116"/>
      <c r="D1813" s="116"/>
      <c r="E1813" s="116"/>
      <c r="F1813" s="116"/>
      <c r="G1813" s="116"/>
      <c r="H1813" s="116"/>
      <c r="I1813" s="116"/>
      <c r="J1813" s="116"/>
    </row>
    <row r="1814" spans="1:10" ht="13.5" customHeight="1">
      <c r="A1814" s="2"/>
      <c r="B1814" s="116"/>
      <c r="C1814" s="116"/>
      <c r="D1814" s="116"/>
      <c r="E1814" s="116"/>
      <c r="F1814" s="116"/>
      <c r="G1814" s="116"/>
      <c r="H1814" s="116"/>
      <c r="I1814" s="116"/>
      <c r="J1814" s="116"/>
    </row>
    <row r="1815" spans="1:10" ht="13.5" customHeight="1">
      <c r="A1815" s="2"/>
      <c r="B1815" s="116"/>
      <c r="C1815" s="116"/>
      <c r="D1815" s="116"/>
      <c r="E1815" s="116"/>
      <c r="F1815" s="116"/>
      <c r="G1815" s="116"/>
      <c r="H1815" s="116"/>
      <c r="I1815" s="116"/>
      <c r="J1815" s="116"/>
    </row>
    <row r="1816" spans="1:10" ht="13.5" customHeight="1">
      <c r="A1816" s="2"/>
      <c r="B1816" s="116"/>
      <c r="C1816" s="116"/>
      <c r="D1816" s="116"/>
      <c r="E1816" s="116"/>
      <c r="F1816" s="116"/>
      <c r="G1816" s="116"/>
      <c r="H1816" s="116"/>
      <c r="I1816" s="116"/>
      <c r="J1816" s="116"/>
    </row>
    <row r="1817" spans="1:10" ht="13.5" customHeight="1">
      <c r="A1817" s="2"/>
      <c r="B1817" s="116"/>
      <c r="C1817" s="116"/>
      <c r="D1817" s="116"/>
      <c r="E1817" s="116"/>
      <c r="F1817" s="116"/>
      <c r="G1817" s="116"/>
      <c r="H1817" s="116"/>
      <c r="I1817" s="116"/>
      <c r="J1817" s="116"/>
    </row>
    <row r="1818" spans="1:10" ht="13.5" customHeight="1">
      <c r="A1818" s="2"/>
      <c r="B1818" s="116"/>
      <c r="C1818" s="116"/>
      <c r="D1818" s="116"/>
      <c r="E1818" s="116"/>
      <c r="F1818" s="116"/>
      <c r="G1818" s="116"/>
      <c r="H1818" s="116"/>
      <c r="I1818" s="116"/>
      <c r="J1818" s="116"/>
    </row>
    <row r="1819" spans="1:10" ht="13.5" customHeight="1">
      <c r="A1819" s="2"/>
      <c r="B1819" s="116"/>
      <c r="C1819" s="116"/>
      <c r="D1819" s="116"/>
      <c r="E1819" s="116"/>
      <c r="F1819" s="116"/>
      <c r="G1819" s="116"/>
      <c r="H1819" s="116"/>
      <c r="I1819" s="116"/>
      <c r="J1819" s="116"/>
    </row>
    <row r="1820" spans="1:10" ht="13.5" customHeight="1">
      <c r="A1820" s="2"/>
      <c r="B1820" s="116"/>
      <c r="C1820" s="116"/>
      <c r="D1820" s="116"/>
      <c r="E1820" s="116"/>
      <c r="F1820" s="116"/>
      <c r="G1820" s="116"/>
      <c r="H1820" s="116"/>
      <c r="I1820" s="116"/>
      <c r="J1820" s="116"/>
    </row>
    <row r="1821" spans="1:10" ht="13.5" customHeight="1">
      <c r="A1821" s="2"/>
      <c r="B1821" s="116"/>
      <c r="C1821" s="116"/>
      <c r="D1821" s="116"/>
      <c r="E1821" s="116"/>
      <c r="F1821" s="116"/>
      <c r="G1821" s="116"/>
      <c r="H1821" s="116"/>
      <c r="I1821" s="116"/>
      <c r="J1821" s="116"/>
    </row>
    <row r="1822" spans="1:10" ht="13.5" customHeight="1">
      <c r="A1822" s="2"/>
      <c r="B1822" s="116"/>
      <c r="C1822" s="116"/>
      <c r="D1822" s="116"/>
      <c r="E1822" s="116"/>
      <c r="F1822" s="116"/>
      <c r="G1822" s="116"/>
      <c r="H1822" s="116"/>
      <c r="I1822" s="116"/>
      <c r="J1822" s="116"/>
    </row>
    <row r="1823" spans="1:10" ht="13.5" customHeight="1">
      <c r="A1823" s="2"/>
      <c r="B1823" s="116"/>
      <c r="C1823" s="116"/>
      <c r="D1823" s="116"/>
      <c r="E1823" s="116"/>
      <c r="F1823" s="116"/>
      <c r="G1823" s="116"/>
      <c r="H1823" s="116"/>
      <c r="I1823" s="116"/>
      <c r="J1823" s="116"/>
    </row>
    <row r="1824" spans="1:10" ht="13.5" customHeight="1">
      <c r="A1824" s="2"/>
      <c r="B1824" s="116"/>
      <c r="C1824" s="116"/>
      <c r="D1824" s="116"/>
      <c r="E1824" s="116"/>
      <c r="F1824" s="116"/>
      <c r="G1824" s="116"/>
      <c r="H1824" s="116"/>
      <c r="I1824" s="116"/>
      <c r="J1824" s="116"/>
    </row>
    <row r="1825" spans="1:10" ht="13.5" customHeight="1">
      <c r="A1825" s="2"/>
      <c r="B1825" s="116"/>
      <c r="C1825" s="116"/>
      <c r="D1825" s="116"/>
      <c r="E1825" s="116"/>
      <c r="F1825" s="116"/>
      <c r="G1825" s="116"/>
      <c r="H1825" s="116"/>
      <c r="I1825" s="116"/>
      <c r="J1825" s="116"/>
    </row>
    <row r="1826" spans="1:10" ht="13.5" customHeight="1">
      <c r="A1826" s="2"/>
      <c r="B1826" s="116"/>
      <c r="C1826" s="116"/>
      <c r="D1826" s="116"/>
      <c r="E1826" s="116"/>
      <c r="F1826" s="116"/>
      <c r="G1826" s="116"/>
      <c r="H1826" s="116"/>
      <c r="I1826" s="116"/>
      <c r="J1826" s="116"/>
    </row>
    <row r="1827" spans="1:10" ht="13.5" customHeight="1">
      <c r="A1827" s="2"/>
      <c r="B1827" s="116"/>
      <c r="C1827" s="116"/>
      <c r="D1827" s="116"/>
      <c r="E1827" s="116"/>
      <c r="F1827" s="116"/>
      <c r="G1827" s="116"/>
      <c r="H1827" s="116"/>
      <c r="I1827" s="116"/>
      <c r="J1827" s="116"/>
    </row>
    <row r="1828" spans="1:10" ht="13.5" customHeight="1">
      <c r="A1828" s="2"/>
      <c r="B1828" s="116"/>
      <c r="C1828" s="116"/>
      <c r="D1828" s="116"/>
      <c r="E1828" s="116"/>
      <c r="F1828" s="116"/>
      <c r="G1828" s="116"/>
      <c r="H1828" s="116"/>
      <c r="I1828" s="116"/>
      <c r="J1828" s="116"/>
    </row>
    <row r="1829" spans="1:10" ht="13.5" customHeight="1">
      <c r="A1829" s="2"/>
      <c r="B1829" s="116"/>
      <c r="C1829" s="116"/>
      <c r="D1829" s="116"/>
      <c r="E1829" s="116"/>
      <c r="F1829" s="116"/>
      <c r="G1829" s="116"/>
      <c r="H1829" s="116"/>
      <c r="I1829" s="116"/>
      <c r="J1829" s="116"/>
    </row>
    <row r="1830" spans="1:10" ht="13.5" customHeight="1">
      <c r="A1830" s="2"/>
      <c r="B1830" s="116"/>
      <c r="C1830" s="116"/>
      <c r="D1830" s="116"/>
      <c r="E1830" s="116"/>
      <c r="F1830" s="116"/>
      <c r="G1830" s="116"/>
      <c r="H1830" s="116"/>
      <c r="I1830" s="116"/>
      <c r="J1830" s="116"/>
    </row>
    <row r="1831" spans="1:10" ht="13.5" customHeight="1">
      <c r="A1831" s="2"/>
      <c r="B1831" s="116"/>
      <c r="C1831" s="116"/>
      <c r="D1831" s="116"/>
      <c r="E1831" s="116"/>
      <c r="F1831" s="116"/>
      <c r="G1831" s="116"/>
      <c r="H1831" s="116"/>
      <c r="I1831" s="116"/>
      <c r="J1831" s="116"/>
    </row>
    <row r="1832" spans="1:10" ht="13.5" customHeight="1">
      <c r="A1832" s="2"/>
      <c r="B1832" s="116"/>
      <c r="C1832" s="116"/>
      <c r="D1832" s="116"/>
      <c r="E1832" s="116"/>
      <c r="F1832" s="116"/>
      <c r="G1832" s="116"/>
      <c r="H1832" s="116"/>
      <c r="I1832" s="116"/>
      <c r="J1832" s="116"/>
    </row>
    <row r="1833" spans="1:10" ht="13.5" customHeight="1">
      <c r="A1833" s="2"/>
      <c r="B1833" s="116"/>
      <c r="C1833" s="116"/>
      <c r="D1833" s="116"/>
      <c r="E1833" s="116"/>
      <c r="F1833" s="116"/>
      <c r="G1833" s="116"/>
      <c r="H1833" s="116"/>
      <c r="I1833" s="116"/>
      <c r="J1833" s="116"/>
    </row>
    <row r="1834" spans="1:10" ht="13.5" customHeight="1">
      <c r="A1834" s="2"/>
      <c r="B1834" s="116"/>
      <c r="C1834" s="116"/>
      <c r="D1834" s="116"/>
      <c r="E1834" s="116"/>
      <c r="F1834" s="116"/>
      <c r="G1834" s="116"/>
      <c r="H1834" s="116"/>
      <c r="I1834" s="116"/>
      <c r="J1834" s="116"/>
    </row>
    <row r="1835" spans="1:10" ht="13.5" customHeight="1">
      <c r="A1835" s="2"/>
      <c r="B1835" s="116"/>
      <c r="C1835" s="116"/>
      <c r="D1835" s="116"/>
      <c r="E1835" s="116"/>
      <c r="F1835" s="116"/>
      <c r="G1835" s="116"/>
      <c r="H1835" s="116"/>
      <c r="I1835" s="116"/>
      <c r="J1835" s="116"/>
    </row>
    <row r="1836" spans="1:10" ht="13.5" customHeight="1">
      <c r="A1836" s="2"/>
      <c r="B1836" s="116"/>
      <c r="C1836" s="116"/>
      <c r="D1836" s="116"/>
      <c r="E1836" s="116"/>
      <c r="F1836" s="116"/>
      <c r="G1836" s="116"/>
      <c r="H1836" s="116"/>
      <c r="I1836" s="116"/>
      <c r="J1836" s="116"/>
    </row>
    <row r="1837" spans="1:10" ht="13.5" customHeight="1">
      <c r="A1837" s="2"/>
      <c r="B1837" s="116"/>
      <c r="C1837" s="116"/>
      <c r="D1837" s="116"/>
      <c r="E1837" s="116"/>
      <c r="F1837" s="116"/>
      <c r="G1837" s="116"/>
      <c r="H1837" s="116"/>
      <c r="I1837" s="116"/>
      <c r="J1837" s="116"/>
    </row>
    <row r="1838" spans="1:10" ht="13.5" customHeight="1">
      <c r="A1838" s="2"/>
      <c r="B1838" s="116"/>
      <c r="C1838" s="116"/>
      <c r="D1838" s="116"/>
      <c r="E1838" s="116"/>
      <c r="F1838" s="116"/>
      <c r="G1838" s="116"/>
      <c r="H1838" s="116"/>
      <c r="I1838" s="116"/>
      <c r="J1838" s="116"/>
    </row>
    <row r="1839" spans="1:10" ht="13.5" customHeight="1">
      <c r="A1839" s="2"/>
      <c r="B1839" s="116"/>
      <c r="C1839" s="116"/>
      <c r="D1839" s="116"/>
      <c r="E1839" s="116"/>
      <c r="F1839" s="116"/>
      <c r="G1839" s="116"/>
      <c r="H1839" s="116"/>
      <c r="I1839" s="116"/>
      <c r="J1839" s="116"/>
    </row>
    <row r="1840" spans="1:10" ht="13.5" customHeight="1">
      <c r="A1840" s="2"/>
      <c r="B1840" s="116"/>
      <c r="C1840" s="116"/>
      <c r="D1840" s="116"/>
      <c r="E1840" s="116"/>
      <c r="F1840" s="116"/>
      <c r="G1840" s="116"/>
      <c r="H1840" s="116"/>
      <c r="I1840" s="116"/>
      <c r="J1840" s="116"/>
    </row>
    <row r="1841" spans="1:10" ht="13.5" customHeight="1">
      <c r="A1841" s="2"/>
      <c r="B1841" s="116"/>
      <c r="C1841" s="116"/>
      <c r="D1841" s="116"/>
      <c r="E1841" s="116"/>
      <c r="F1841" s="116"/>
      <c r="G1841" s="116"/>
      <c r="H1841" s="116"/>
      <c r="I1841" s="116"/>
      <c r="J1841" s="116"/>
    </row>
    <row r="1842" spans="1:10" ht="13.5" customHeight="1">
      <c r="A1842" s="2"/>
      <c r="B1842" s="116"/>
      <c r="C1842" s="116"/>
      <c r="D1842" s="116"/>
      <c r="E1842" s="116"/>
      <c r="F1842" s="116"/>
      <c r="G1842" s="116"/>
      <c r="H1842" s="116"/>
      <c r="I1842" s="116"/>
      <c r="J1842" s="116"/>
    </row>
    <row r="1843" spans="1:10" ht="13.5" customHeight="1">
      <c r="A1843" s="2"/>
      <c r="B1843" s="116"/>
      <c r="C1843" s="116"/>
      <c r="D1843" s="116"/>
      <c r="E1843" s="116"/>
      <c r="F1843" s="116"/>
      <c r="G1843" s="116"/>
      <c r="H1843" s="116"/>
      <c r="I1843" s="116"/>
      <c r="J1843" s="116"/>
    </row>
    <row r="1844" spans="1:10" ht="13.5" customHeight="1">
      <c r="A1844" s="2"/>
      <c r="B1844" s="116"/>
      <c r="C1844" s="116"/>
      <c r="D1844" s="116"/>
      <c r="E1844" s="116"/>
      <c r="F1844" s="116"/>
      <c r="G1844" s="116"/>
      <c r="H1844" s="116"/>
      <c r="I1844" s="116"/>
      <c r="J1844" s="116"/>
    </row>
    <row r="1845" spans="1:10" ht="13.5" customHeight="1">
      <c r="A1845" s="2"/>
      <c r="B1845" s="116"/>
      <c r="C1845" s="116"/>
      <c r="D1845" s="116"/>
      <c r="E1845" s="116"/>
      <c r="F1845" s="116"/>
      <c r="G1845" s="116"/>
      <c r="H1845" s="116"/>
      <c r="I1845" s="116"/>
      <c r="J1845" s="116"/>
    </row>
    <row r="1846" spans="1:10" ht="13.5" customHeight="1">
      <c r="A1846" s="2"/>
      <c r="B1846" s="116"/>
      <c r="C1846" s="116"/>
      <c r="D1846" s="116"/>
      <c r="E1846" s="116"/>
      <c r="F1846" s="116"/>
      <c r="G1846" s="116"/>
      <c r="H1846" s="116"/>
      <c r="I1846" s="116"/>
      <c r="J1846" s="116"/>
    </row>
    <row r="1847" spans="1:10" ht="13.5" customHeight="1">
      <c r="A1847" s="2"/>
      <c r="B1847" s="116"/>
      <c r="C1847" s="116"/>
      <c r="D1847" s="116"/>
      <c r="E1847" s="116"/>
      <c r="F1847" s="116"/>
      <c r="G1847" s="116"/>
      <c r="H1847" s="116"/>
      <c r="I1847" s="116"/>
      <c r="J1847" s="116"/>
    </row>
    <row r="1848" spans="1:10" ht="13.5" customHeight="1">
      <c r="A1848" s="2"/>
      <c r="B1848" s="116"/>
      <c r="C1848" s="116"/>
      <c r="D1848" s="116"/>
      <c r="E1848" s="116"/>
      <c r="F1848" s="116"/>
      <c r="G1848" s="116"/>
      <c r="H1848" s="116"/>
      <c r="I1848" s="116"/>
      <c r="J1848" s="116"/>
    </row>
    <row r="1849" spans="1:10" ht="13.5" customHeight="1">
      <c r="A1849" s="2"/>
      <c r="B1849" s="116"/>
      <c r="C1849" s="116"/>
      <c r="D1849" s="116"/>
      <c r="E1849" s="116"/>
      <c r="F1849" s="116"/>
      <c r="G1849" s="116"/>
      <c r="H1849" s="116"/>
      <c r="I1849" s="116"/>
      <c r="J1849" s="116"/>
    </row>
    <row r="1850" spans="1:10" ht="13.5" customHeight="1">
      <c r="A1850" s="2"/>
      <c r="B1850" s="116"/>
      <c r="C1850" s="116"/>
      <c r="D1850" s="116"/>
      <c r="E1850" s="116"/>
      <c r="F1850" s="116"/>
      <c r="G1850" s="116"/>
      <c r="H1850" s="116"/>
      <c r="I1850" s="116"/>
      <c r="J1850" s="116"/>
    </row>
    <row r="1851" spans="1:10" ht="13.5" customHeight="1">
      <c r="A1851" s="2"/>
      <c r="B1851" s="116"/>
      <c r="C1851" s="116"/>
      <c r="D1851" s="116"/>
      <c r="E1851" s="116"/>
      <c r="F1851" s="116"/>
      <c r="G1851" s="116"/>
      <c r="H1851" s="116"/>
      <c r="I1851" s="116"/>
      <c r="J1851" s="116"/>
    </row>
    <row r="1852" spans="1:10" ht="13.5" customHeight="1">
      <c r="A1852" s="2"/>
      <c r="B1852" s="116"/>
      <c r="C1852" s="116"/>
      <c r="D1852" s="116"/>
      <c r="E1852" s="116"/>
      <c r="F1852" s="116"/>
      <c r="G1852" s="116"/>
      <c r="H1852" s="116"/>
      <c r="I1852" s="116"/>
      <c r="J1852" s="116"/>
    </row>
    <row r="1853" spans="1:10" ht="13.5" customHeight="1">
      <c r="A1853" s="2"/>
      <c r="B1853" s="116"/>
      <c r="C1853" s="116"/>
      <c r="D1853" s="116"/>
      <c r="E1853" s="116"/>
      <c r="F1853" s="116"/>
      <c r="G1853" s="116"/>
      <c r="H1853" s="116"/>
      <c r="I1853" s="116"/>
      <c r="J1853" s="116"/>
    </row>
    <row r="1854" spans="1:10" ht="13.5" customHeight="1">
      <c r="A1854" s="2"/>
      <c r="B1854" s="116"/>
      <c r="C1854" s="116"/>
      <c r="D1854" s="116"/>
      <c r="E1854" s="116"/>
      <c r="F1854" s="116"/>
      <c r="G1854" s="116"/>
      <c r="H1854" s="116"/>
      <c r="I1854" s="116"/>
      <c r="J1854" s="116"/>
    </row>
    <row r="1855" spans="1:10" ht="13.5" customHeight="1">
      <c r="A1855" s="2"/>
      <c r="B1855" s="116"/>
      <c r="C1855" s="116"/>
      <c r="D1855" s="116"/>
      <c r="E1855" s="116"/>
      <c r="F1855" s="116"/>
      <c r="G1855" s="116"/>
      <c r="H1855" s="116"/>
      <c r="I1855" s="116"/>
      <c r="J1855" s="116"/>
    </row>
    <row r="1856" spans="1:10" ht="13.5" customHeight="1">
      <c r="A1856" s="2"/>
      <c r="B1856" s="116"/>
      <c r="C1856" s="116"/>
      <c r="D1856" s="116"/>
      <c r="E1856" s="116"/>
      <c r="F1856" s="116"/>
      <c r="G1856" s="116"/>
      <c r="H1856" s="116"/>
      <c r="I1856" s="116"/>
      <c r="J1856" s="116"/>
    </row>
    <row r="1857" spans="1:10" ht="13.5" customHeight="1">
      <c r="A1857" s="2"/>
      <c r="B1857" s="116"/>
      <c r="C1857" s="116"/>
      <c r="D1857" s="116"/>
      <c r="E1857" s="116"/>
      <c r="F1857" s="116"/>
      <c r="G1857" s="116"/>
      <c r="H1857" s="116"/>
      <c r="I1857" s="116"/>
      <c r="J1857" s="116"/>
    </row>
    <row r="1858" spans="1:10" ht="13.5" customHeight="1">
      <c r="A1858" s="2"/>
      <c r="B1858" s="116"/>
      <c r="C1858" s="116"/>
      <c r="D1858" s="116"/>
      <c r="E1858" s="116"/>
      <c r="F1858" s="116"/>
      <c r="G1858" s="116"/>
      <c r="H1858" s="116"/>
      <c r="I1858" s="116"/>
      <c r="J1858" s="116"/>
    </row>
    <row r="1859" spans="1:10" ht="13.5" customHeight="1">
      <c r="A1859" s="2"/>
      <c r="B1859" s="116"/>
      <c r="C1859" s="116"/>
      <c r="D1859" s="116"/>
      <c r="E1859" s="116"/>
      <c r="F1859" s="116"/>
      <c r="G1859" s="116"/>
      <c r="H1859" s="116"/>
      <c r="I1859" s="116"/>
      <c r="J1859" s="116"/>
    </row>
    <row r="1860" spans="1:10" ht="13.5" customHeight="1">
      <c r="A1860" s="2"/>
      <c r="B1860" s="116"/>
      <c r="C1860" s="116"/>
      <c r="D1860" s="116"/>
      <c r="E1860" s="116"/>
      <c r="F1860" s="116"/>
      <c r="G1860" s="116"/>
      <c r="H1860" s="116"/>
      <c r="I1860" s="116"/>
      <c r="J1860" s="116"/>
    </row>
    <row r="1861" spans="1:10" ht="13.5" customHeight="1">
      <c r="A1861" s="2"/>
      <c r="B1861" s="116"/>
      <c r="C1861" s="116"/>
      <c r="D1861" s="116"/>
      <c r="E1861" s="116"/>
      <c r="F1861" s="116"/>
      <c r="G1861" s="116"/>
      <c r="H1861" s="116"/>
      <c r="I1861" s="116"/>
      <c r="J1861" s="116"/>
    </row>
  </sheetData>
  <mergeCells count="1">
    <mergeCell ref="A10:J10"/>
  </mergeCells>
  <printOptions/>
  <pageMargins left="0.5118110179901123" right="0.31496062874794006" top="0.5511810779571533" bottom="0.5511810779571533" header="0.31496062874794006" footer="0.31496062874794006"/>
  <pageSetup fitToHeight="1" fitToWidth="1" horizontalDpi="300" verticalDpi="300" orientation="portrait" paperSize="9" scale="51"/>
  <headerFooter alignWithMargins="0"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showGridLines="0" workbookViewId="0" topLeftCell="A1">
      <selection activeCell="A1" sqref="A1"/>
    </sheetView>
  </sheetViews>
  <sheetFormatPr defaultColWidth="10.28125" defaultRowHeight="15" customHeight="1"/>
  <cols>
    <col min="1" max="1" width="10.421875" style="211" customWidth="1"/>
    <col min="2" max="2" width="67.00390625" style="211" customWidth="1"/>
    <col min="3" max="3" width="20.140625" style="211" customWidth="1"/>
    <col min="4" max="4" width="17.421875" style="211" customWidth="1"/>
    <col min="5" max="5" width="19.7109375" style="211" customWidth="1"/>
    <col min="6" max="8" width="0" style="211" hidden="1" customWidth="1"/>
    <col min="9" max="9" width="13.7109375" style="211" customWidth="1"/>
    <col min="10" max="256" width="9.140625" style="211" customWidth="1"/>
  </cols>
  <sheetData>
    <row r="1" spans="1:10" ht="13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2"/>
      <c r="B2" s="152"/>
      <c r="C2" s="212" t="s">
        <v>611</v>
      </c>
      <c r="D2" s="2"/>
      <c r="E2" s="2"/>
      <c r="F2" s="2"/>
      <c r="G2" s="2"/>
      <c r="H2" s="2"/>
      <c r="I2" s="2"/>
      <c r="J2" s="2"/>
    </row>
    <row r="3" spans="1:10" ht="18.75" customHeight="1">
      <c r="A3" s="2"/>
      <c r="B3" s="152"/>
      <c r="C3" s="212" t="s">
        <v>377</v>
      </c>
      <c r="D3" s="2"/>
      <c r="E3" s="2"/>
      <c r="F3" s="2"/>
      <c r="G3" s="2"/>
      <c r="H3" s="2"/>
      <c r="I3" s="2"/>
      <c r="J3" s="2"/>
    </row>
    <row r="4" spans="1:10" ht="18.75" customHeight="1">
      <c r="A4" s="2"/>
      <c r="B4" s="152"/>
      <c r="C4" s="212" t="s">
        <v>2</v>
      </c>
      <c r="D4" s="2"/>
      <c r="E4" s="2"/>
      <c r="F4" s="2"/>
      <c r="G4" s="2"/>
      <c r="H4" s="2"/>
      <c r="I4" s="2"/>
      <c r="J4" s="2"/>
    </row>
    <row r="5" spans="1:10" ht="18.75" customHeight="1">
      <c r="A5" s="2"/>
      <c r="B5" s="152"/>
      <c r="C5" s="212" t="s">
        <v>3</v>
      </c>
      <c r="D5" s="2"/>
      <c r="E5" s="2"/>
      <c r="F5" s="2"/>
      <c r="G5" s="2"/>
      <c r="H5" s="2"/>
      <c r="I5" s="2"/>
      <c r="J5" s="2"/>
    </row>
    <row r="6" spans="1:10" ht="18.75" customHeight="1">
      <c r="A6" s="2"/>
      <c r="B6" s="152"/>
      <c r="C6" s="212" t="s">
        <v>4</v>
      </c>
      <c r="D6" s="2"/>
      <c r="E6" s="2"/>
      <c r="F6" s="2"/>
      <c r="G6" s="2"/>
      <c r="H6" s="2"/>
      <c r="I6" s="2"/>
      <c r="J6" s="2"/>
    </row>
    <row r="7" spans="1:10" ht="18.75" customHeight="1">
      <c r="A7" s="2"/>
      <c r="B7" s="152"/>
      <c r="C7" s="212" t="s">
        <v>253</v>
      </c>
      <c r="D7" s="2"/>
      <c r="E7" s="2"/>
      <c r="F7" s="2"/>
      <c r="G7" s="2"/>
      <c r="H7" s="2"/>
      <c r="I7" s="2"/>
      <c r="J7" s="2"/>
    </row>
    <row r="8" spans="1:10" ht="18.75" customHeight="1">
      <c r="A8" s="2"/>
      <c r="B8" s="2"/>
      <c r="C8" s="212" t="s">
        <v>254</v>
      </c>
      <c r="D8" s="2"/>
      <c r="E8" s="2"/>
      <c r="F8" s="2"/>
      <c r="G8" s="2"/>
      <c r="H8" s="2"/>
      <c r="I8" s="2"/>
      <c r="J8" s="2"/>
    </row>
    <row r="9" spans="1:10" ht="13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46.5" customHeight="1">
      <c r="A10" s="54" t="s">
        <v>612</v>
      </c>
      <c r="B10" s="55"/>
      <c r="C10" s="55"/>
      <c r="D10" s="55"/>
      <c r="E10" s="55"/>
      <c r="F10" s="2"/>
      <c r="G10" s="2"/>
      <c r="H10" s="2"/>
      <c r="I10" s="2"/>
      <c r="J10" s="2"/>
    </row>
    <row r="11" spans="1:10" ht="13.5" customHeight="1">
      <c r="A11" s="7"/>
      <c r="B11" s="7"/>
      <c r="C11" s="7"/>
      <c r="D11" s="7"/>
      <c r="E11" s="157" t="s">
        <v>613</v>
      </c>
      <c r="F11" s="2"/>
      <c r="G11" s="2"/>
      <c r="H11" s="2"/>
      <c r="I11" s="2"/>
      <c r="J11" s="2"/>
    </row>
    <row r="12" spans="1:10" ht="30" customHeight="1">
      <c r="A12" s="9" t="s">
        <v>614</v>
      </c>
      <c r="B12" s="9" t="s">
        <v>615</v>
      </c>
      <c r="C12" s="9" t="s">
        <v>10</v>
      </c>
      <c r="D12" s="9" t="s">
        <v>11</v>
      </c>
      <c r="E12" s="9" t="s">
        <v>12</v>
      </c>
      <c r="F12" s="10"/>
      <c r="G12" s="2"/>
      <c r="H12" s="2"/>
      <c r="I12" s="10"/>
      <c r="J12" s="2"/>
    </row>
    <row r="13" spans="1:10" ht="31.5" customHeight="1">
      <c r="A13" s="185">
        <v>1</v>
      </c>
      <c r="B13" s="87" t="s">
        <v>616</v>
      </c>
      <c r="C13" s="62">
        <f>SUM(C14:C24)</f>
        <v>258867000</v>
      </c>
      <c r="D13" s="62">
        <v>210358000</v>
      </c>
      <c r="E13" s="62">
        <v>210802000</v>
      </c>
      <c r="F13" s="10"/>
      <c r="G13" s="2"/>
      <c r="H13" s="2"/>
      <c r="I13" s="10"/>
      <c r="J13" s="2"/>
    </row>
    <row r="14" spans="1:10" ht="15.75" customHeight="1">
      <c r="A14" s="163" t="s">
        <v>617</v>
      </c>
      <c r="B14" s="71" t="s">
        <v>618</v>
      </c>
      <c r="C14" s="213">
        <v>31030000</v>
      </c>
      <c r="D14" s="145"/>
      <c r="E14" s="145"/>
      <c r="F14" s="10"/>
      <c r="G14" s="2"/>
      <c r="H14" s="2"/>
      <c r="I14" s="10"/>
      <c r="J14" s="2"/>
    </row>
    <row r="15" spans="1:10" ht="15.75" customHeight="1">
      <c r="A15" s="163" t="s">
        <v>619</v>
      </c>
      <c r="B15" s="71" t="s">
        <v>620</v>
      </c>
      <c r="C15" s="213">
        <v>20956000</v>
      </c>
      <c r="D15" s="145"/>
      <c r="E15" s="145"/>
      <c r="F15" s="10"/>
      <c r="G15" s="2"/>
      <c r="H15" s="2"/>
      <c r="I15" s="10"/>
      <c r="J15" s="2"/>
    </row>
    <row r="16" spans="1:10" ht="15.75" customHeight="1">
      <c r="A16" s="163" t="s">
        <v>621</v>
      </c>
      <c r="B16" s="71" t="s">
        <v>622</v>
      </c>
      <c r="C16" s="213">
        <v>30374000</v>
      </c>
      <c r="D16" s="145"/>
      <c r="E16" s="145"/>
      <c r="F16" s="10"/>
      <c r="G16" s="2"/>
      <c r="H16" s="2"/>
      <c r="I16" s="10"/>
      <c r="J16" s="2"/>
    </row>
    <row r="17" spans="1:10" ht="15.75" customHeight="1">
      <c r="A17" s="163" t="s">
        <v>623</v>
      </c>
      <c r="B17" s="71" t="s">
        <v>624</v>
      </c>
      <c r="C17" s="213">
        <v>22010000</v>
      </c>
      <c r="D17" s="145"/>
      <c r="E17" s="145"/>
      <c r="F17" s="10"/>
      <c r="G17" s="2"/>
      <c r="H17" s="2"/>
      <c r="I17" s="10"/>
      <c r="J17" s="2"/>
    </row>
    <row r="18" spans="1:10" ht="15.75" customHeight="1">
      <c r="A18" s="163" t="s">
        <v>625</v>
      </c>
      <c r="B18" s="71" t="s">
        <v>626</v>
      </c>
      <c r="C18" s="213">
        <v>22743000</v>
      </c>
      <c r="D18" s="145"/>
      <c r="E18" s="145"/>
      <c r="F18" s="10"/>
      <c r="G18" s="2"/>
      <c r="H18" s="2"/>
      <c r="I18" s="10"/>
      <c r="J18" s="2"/>
    </row>
    <row r="19" spans="1:10" ht="15.75" customHeight="1">
      <c r="A19" s="163" t="s">
        <v>627</v>
      </c>
      <c r="B19" s="71" t="s">
        <v>628</v>
      </c>
      <c r="C19" s="213">
        <v>17598000</v>
      </c>
      <c r="D19" s="145"/>
      <c r="E19" s="145"/>
      <c r="F19" s="10"/>
      <c r="G19" s="2"/>
      <c r="H19" s="2"/>
      <c r="I19" s="10"/>
      <c r="J19" s="2"/>
    </row>
    <row r="20" spans="1:10" ht="15.75" customHeight="1">
      <c r="A20" s="163" t="s">
        <v>629</v>
      </c>
      <c r="B20" s="71" t="s">
        <v>630</v>
      </c>
      <c r="C20" s="213">
        <v>33703000</v>
      </c>
      <c r="D20" s="145"/>
      <c r="E20" s="145"/>
      <c r="F20" s="10"/>
      <c r="G20" s="2"/>
      <c r="H20" s="2"/>
      <c r="I20" s="10"/>
      <c r="J20" s="2"/>
    </row>
    <row r="21" spans="1:10" ht="15.75" customHeight="1">
      <c r="A21" s="163" t="s">
        <v>631</v>
      </c>
      <c r="B21" s="71" t="s">
        <v>632</v>
      </c>
      <c r="C21" s="213">
        <v>24922000</v>
      </c>
      <c r="D21" s="145"/>
      <c r="E21" s="145"/>
      <c r="F21" s="10"/>
      <c r="G21" s="2"/>
      <c r="H21" s="2"/>
      <c r="I21" s="10"/>
      <c r="J21" s="2"/>
    </row>
    <row r="22" spans="1:10" ht="15.75" customHeight="1">
      <c r="A22" s="163" t="s">
        <v>633</v>
      </c>
      <c r="B22" s="71" t="s">
        <v>634</v>
      </c>
      <c r="C22" s="213">
        <v>24556000</v>
      </c>
      <c r="D22" s="145"/>
      <c r="E22" s="145"/>
      <c r="F22" s="10"/>
      <c r="G22" s="2"/>
      <c r="H22" s="2"/>
      <c r="I22" s="10"/>
      <c r="J22" s="2"/>
    </row>
    <row r="23" spans="1:10" ht="15.75" customHeight="1">
      <c r="A23" s="163" t="s">
        <v>635</v>
      </c>
      <c r="B23" s="71" t="s">
        <v>636</v>
      </c>
      <c r="C23" s="213">
        <v>15326000</v>
      </c>
      <c r="D23" s="145"/>
      <c r="E23" s="145"/>
      <c r="F23" s="10"/>
      <c r="G23" s="2"/>
      <c r="H23" s="2"/>
      <c r="I23" s="10"/>
      <c r="J23" s="2"/>
    </row>
    <row r="24" spans="1:10" ht="15.75" customHeight="1">
      <c r="A24" s="163" t="s">
        <v>637</v>
      </c>
      <c r="B24" s="71" t="s">
        <v>638</v>
      </c>
      <c r="C24" s="213">
        <v>15649000</v>
      </c>
      <c r="D24" s="145"/>
      <c r="E24" s="145"/>
      <c r="F24" s="10"/>
      <c r="G24" s="2"/>
      <c r="H24" s="2"/>
      <c r="I24" s="10"/>
      <c r="J24" s="2"/>
    </row>
    <row r="25" spans="1:10" ht="47.25" customHeight="1">
      <c r="A25" s="185">
        <v>2</v>
      </c>
      <c r="B25" s="87" t="s">
        <v>639</v>
      </c>
      <c r="C25" s="62">
        <f>SUM(C26:C35)</f>
        <v>0</v>
      </c>
      <c r="D25" s="62">
        <f>SUM(D26:D35)</f>
        <v>45400</v>
      </c>
      <c r="E25" s="62">
        <f>SUM(E26:E35)</f>
        <v>47100</v>
      </c>
      <c r="F25" s="10"/>
      <c r="G25" s="2"/>
      <c r="H25" s="2"/>
      <c r="I25" s="10"/>
      <c r="J25" s="2"/>
    </row>
    <row r="26" spans="1:10" ht="15.75" customHeight="1">
      <c r="A26" s="163" t="s">
        <v>640</v>
      </c>
      <c r="B26" s="71" t="s">
        <v>620</v>
      </c>
      <c r="C26" s="213"/>
      <c r="D26" s="145">
        <v>14200</v>
      </c>
      <c r="E26" s="145">
        <v>15300</v>
      </c>
      <c r="F26" s="10"/>
      <c r="G26" s="2"/>
      <c r="H26" s="2"/>
      <c r="I26" s="10"/>
      <c r="J26" s="2"/>
    </row>
    <row r="27" spans="1:10" ht="15.75" customHeight="1">
      <c r="A27" s="163" t="s">
        <v>641</v>
      </c>
      <c r="B27" s="71" t="s">
        <v>622</v>
      </c>
      <c r="C27" s="213"/>
      <c r="D27" s="145">
        <v>25100</v>
      </c>
      <c r="E27" s="145">
        <v>25400</v>
      </c>
      <c r="F27" s="10"/>
      <c r="G27" s="2"/>
      <c r="H27" s="2"/>
      <c r="I27" s="10"/>
      <c r="J27" s="2"/>
    </row>
    <row r="28" spans="1:10" ht="15.75" customHeight="1">
      <c r="A28" s="163" t="s">
        <v>642</v>
      </c>
      <c r="B28" s="71" t="s">
        <v>624</v>
      </c>
      <c r="C28" s="213"/>
      <c r="D28" s="145"/>
      <c r="E28" s="145"/>
      <c r="F28" s="10"/>
      <c r="G28" s="2"/>
      <c r="H28" s="2"/>
      <c r="I28" s="10"/>
      <c r="J28" s="2"/>
    </row>
    <row r="29" spans="1:10" ht="15.75" customHeight="1">
      <c r="A29" s="163" t="s">
        <v>643</v>
      </c>
      <c r="B29" s="71" t="s">
        <v>626</v>
      </c>
      <c r="C29" s="213"/>
      <c r="D29" s="145">
        <v>200</v>
      </c>
      <c r="E29" s="145">
        <v>200</v>
      </c>
      <c r="F29" s="10"/>
      <c r="G29" s="2"/>
      <c r="H29" s="2"/>
      <c r="I29" s="10"/>
      <c r="J29" s="2"/>
    </row>
    <row r="30" spans="1:10" ht="15.75" customHeight="1">
      <c r="A30" s="163" t="s">
        <v>644</v>
      </c>
      <c r="B30" s="71" t="s">
        <v>628</v>
      </c>
      <c r="C30" s="213"/>
      <c r="D30" s="145"/>
      <c r="E30" s="145"/>
      <c r="F30" s="10"/>
      <c r="G30" s="2"/>
      <c r="H30" s="2"/>
      <c r="I30" s="10"/>
      <c r="J30" s="2"/>
    </row>
    <row r="31" spans="1:10" ht="15.75" customHeight="1">
      <c r="A31" s="163" t="s">
        <v>645</v>
      </c>
      <c r="B31" s="71" t="s">
        <v>630</v>
      </c>
      <c r="C31" s="213"/>
      <c r="D31" s="145">
        <v>3800</v>
      </c>
      <c r="E31" s="145">
        <v>4000</v>
      </c>
      <c r="F31" s="10"/>
      <c r="G31" s="2"/>
      <c r="H31" s="2"/>
      <c r="I31" s="10"/>
      <c r="J31" s="2"/>
    </row>
    <row r="32" spans="1:10" ht="15.75" customHeight="1">
      <c r="A32" s="163" t="s">
        <v>646</v>
      </c>
      <c r="B32" s="71" t="s">
        <v>632</v>
      </c>
      <c r="C32" s="213"/>
      <c r="D32" s="145">
        <v>200</v>
      </c>
      <c r="E32" s="145">
        <v>200</v>
      </c>
      <c r="F32" s="10"/>
      <c r="G32" s="2"/>
      <c r="H32" s="2"/>
      <c r="I32" s="10"/>
      <c r="J32" s="2"/>
    </row>
    <row r="33" spans="1:10" ht="15.75" customHeight="1">
      <c r="A33" s="163" t="s">
        <v>647</v>
      </c>
      <c r="B33" s="71" t="s">
        <v>634</v>
      </c>
      <c r="C33" s="213"/>
      <c r="D33" s="145"/>
      <c r="E33" s="145"/>
      <c r="F33" s="10"/>
      <c r="G33" s="2"/>
      <c r="H33" s="2"/>
      <c r="I33" s="10"/>
      <c r="J33" s="2"/>
    </row>
    <row r="34" spans="1:10" ht="15.75" customHeight="1">
      <c r="A34" s="163" t="s">
        <v>648</v>
      </c>
      <c r="B34" s="71" t="s">
        <v>636</v>
      </c>
      <c r="C34" s="213"/>
      <c r="D34" s="145">
        <v>1900</v>
      </c>
      <c r="E34" s="145">
        <v>2000</v>
      </c>
      <c r="F34" s="10"/>
      <c r="G34" s="2"/>
      <c r="H34" s="2"/>
      <c r="I34" s="10"/>
      <c r="J34" s="2"/>
    </row>
    <row r="35" spans="1:10" ht="15.75" customHeight="1">
      <c r="A35" s="163" t="s">
        <v>649</v>
      </c>
      <c r="B35" s="71" t="s">
        <v>638</v>
      </c>
      <c r="C35" s="213"/>
      <c r="D35" s="145"/>
      <c r="E35" s="145"/>
      <c r="F35" s="10"/>
      <c r="G35" s="2"/>
      <c r="H35" s="2"/>
      <c r="I35" s="10"/>
      <c r="J35" s="2"/>
    </row>
    <row r="36" spans="1:10" ht="15.75" customHeight="1" hidden="1">
      <c r="A36" s="163" t="s">
        <v>650</v>
      </c>
      <c r="B36" s="71" t="s">
        <v>620</v>
      </c>
      <c r="C36" s="213"/>
      <c r="D36" s="213"/>
      <c r="E36" s="213"/>
      <c r="F36" s="10"/>
      <c r="G36" s="2"/>
      <c r="H36" s="2"/>
      <c r="I36" s="2"/>
      <c r="J36" s="2"/>
    </row>
    <row r="37" spans="1:10" ht="15.75" customHeight="1" hidden="1">
      <c r="A37" s="163" t="s">
        <v>651</v>
      </c>
      <c r="B37" s="71" t="s">
        <v>622</v>
      </c>
      <c r="C37" s="213"/>
      <c r="D37" s="213"/>
      <c r="E37" s="213"/>
      <c r="F37" s="10"/>
      <c r="G37" s="2"/>
      <c r="H37" s="2"/>
      <c r="I37" s="2"/>
      <c r="J37" s="2"/>
    </row>
    <row r="38" spans="1:10" ht="15.75" customHeight="1" hidden="1">
      <c r="A38" s="163" t="s">
        <v>652</v>
      </c>
      <c r="B38" s="71" t="s">
        <v>624</v>
      </c>
      <c r="C38" s="213"/>
      <c r="D38" s="213"/>
      <c r="E38" s="213"/>
      <c r="F38" s="10"/>
      <c r="G38" s="2"/>
      <c r="H38" s="2"/>
      <c r="I38" s="2"/>
      <c r="J38" s="2"/>
    </row>
    <row r="39" spans="1:10" ht="15.75" customHeight="1" hidden="1">
      <c r="A39" s="163" t="s">
        <v>653</v>
      </c>
      <c r="B39" s="71" t="s">
        <v>626</v>
      </c>
      <c r="C39" s="213"/>
      <c r="D39" s="213"/>
      <c r="E39" s="213"/>
      <c r="F39" s="10"/>
      <c r="G39" s="2"/>
      <c r="H39" s="2"/>
      <c r="I39" s="2"/>
      <c r="J39" s="2"/>
    </row>
    <row r="40" spans="1:10" ht="15.75" customHeight="1" hidden="1">
      <c r="A40" s="163" t="s">
        <v>654</v>
      </c>
      <c r="B40" s="71" t="s">
        <v>628</v>
      </c>
      <c r="C40" s="213"/>
      <c r="D40" s="213"/>
      <c r="E40" s="213"/>
      <c r="F40" s="10"/>
      <c r="G40" s="2"/>
      <c r="H40" s="2"/>
      <c r="I40" s="2"/>
      <c r="J40" s="2"/>
    </row>
    <row r="41" spans="1:10" ht="15.75" customHeight="1" hidden="1">
      <c r="A41" s="163" t="s">
        <v>655</v>
      </c>
      <c r="B41" s="71" t="s">
        <v>630</v>
      </c>
      <c r="C41" s="213"/>
      <c r="D41" s="213"/>
      <c r="E41" s="213"/>
      <c r="F41" s="10"/>
      <c r="G41" s="2"/>
      <c r="H41" s="2"/>
      <c r="I41" s="2"/>
      <c r="J41" s="2"/>
    </row>
    <row r="42" spans="1:10" ht="15.75" customHeight="1" hidden="1">
      <c r="A42" s="163" t="s">
        <v>656</v>
      </c>
      <c r="B42" s="71" t="s">
        <v>632</v>
      </c>
      <c r="C42" s="213"/>
      <c r="D42" s="213"/>
      <c r="E42" s="213"/>
      <c r="F42" s="10"/>
      <c r="G42" s="2"/>
      <c r="H42" s="2"/>
      <c r="I42" s="2"/>
      <c r="J42" s="2"/>
    </row>
    <row r="43" spans="1:10" ht="15.75" customHeight="1" hidden="1">
      <c r="A43" s="163" t="s">
        <v>657</v>
      </c>
      <c r="B43" s="71" t="s">
        <v>634</v>
      </c>
      <c r="C43" s="213"/>
      <c r="D43" s="213"/>
      <c r="E43" s="213"/>
      <c r="F43" s="10"/>
      <c r="G43" s="2"/>
      <c r="H43" s="2"/>
      <c r="I43" s="2"/>
      <c r="J43" s="2"/>
    </row>
    <row r="44" spans="1:10" ht="15.75" customHeight="1" hidden="1">
      <c r="A44" s="163" t="s">
        <v>658</v>
      </c>
      <c r="B44" s="71" t="s">
        <v>636</v>
      </c>
      <c r="C44" s="213"/>
      <c r="D44" s="213"/>
      <c r="E44" s="213"/>
      <c r="F44" s="10"/>
      <c r="G44" s="2"/>
      <c r="H44" s="2"/>
      <c r="I44" s="2"/>
      <c r="J44" s="2"/>
    </row>
    <row r="45" spans="1:10" ht="15.75" customHeight="1" hidden="1">
      <c r="A45" s="163" t="s">
        <v>659</v>
      </c>
      <c r="B45" s="71" t="s">
        <v>638</v>
      </c>
      <c r="C45" s="213"/>
      <c r="D45" s="213"/>
      <c r="E45" s="213"/>
      <c r="F45" s="10"/>
      <c r="G45" s="2"/>
      <c r="H45" s="2"/>
      <c r="I45" s="2"/>
      <c r="J45" s="2"/>
    </row>
    <row r="46" spans="1:10" ht="47.25" customHeight="1" hidden="1">
      <c r="A46" s="164" t="s">
        <v>660</v>
      </c>
      <c r="B46" s="87" t="s">
        <v>661</v>
      </c>
      <c r="C46" s="133">
        <f>SUM(C47:C57)</f>
        <v>0</v>
      </c>
      <c r="D46" s="133">
        <f>SUM(D47:D57)</f>
        <v>0</v>
      </c>
      <c r="E46" s="133">
        <f>SUM(E47:E57)</f>
        <v>0</v>
      </c>
      <c r="F46" s="10"/>
      <c r="G46" s="2"/>
      <c r="H46" s="2"/>
      <c r="I46" s="2"/>
      <c r="J46" s="2"/>
    </row>
    <row r="47" spans="1:10" ht="15.75" customHeight="1" hidden="1">
      <c r="A47" s="163" t="s">
        <v>662</v>
      </c>
      <c r="B47" s="71" t="s">
        <v>618</v>
      </c>
      <c r="C47" s="213"/>
      <c r="D47" s="32"/>
      <c r="E47" s="32"/>
      <c r="F47" s="10"/>
      <c r="G47" s="2"/>
      <c r="H47" s="2"/>
      <c r="I47" s="2"/>
      <c r="J47" s="2"/>
    </row>
    <row r="48" spans="1:10" ht="15.75" customHeight="1" hidden="1">
      <c r="A48" s="163" t="s">
        <v>663</v>
      </c>
      <c r="B48" s="71" t="s">
        <v>620</v>
      </c>
      <c r="C48" s="213"/>
      <c r="D48" s="32"/>
      <c r="E48" s="32"/>
      <c r="F48" s="10"/>
      <c r="G48" s="2"/>
      <c r="H48" s="2"/>
      <c r="I48" s="2"/>
      <c r="J48" s="2"/>
    </row>
    <row r="49" spans="1:10" ht="15.75" customHeight="1" hidden="1">
      <c r="A49" s="163" t="s">
        <v>664</v>
      </c>
      <c r="B49" s="71" t="s">
        <v>622</v>
      </c>
      <c r="C49" s="213"/>
      <c r="D49" s="32"/>
      <c r="E49" s="32"/>
      <c r="F49" s="10"/>
      <c r="G49" s="2"/>
      <c r="H49" s="2"/>
      <c r="I49" s="2"/>
      <c r="J49" s="2"/>
    </row>
    <row r="50" spans="1:10" ht="15.75" customHeight="1" hidden="1">
      <c r="A50" s="163" t="s">
        <v>665</v>
      </c>
      <c r="B50" s="71" t="s">
        <v>624</v>
      </c>
      <c r="C50" s="213"/>
      <c r="D50" s="32"/>
      <c r="E50" s="32"/>
      <c r="F50" s="10"/>
      <c r="G50" s="2"/>
      <c r="H50" s="2"/>
      <c r="I50" s="2"/>
      <c r="J50" s="2"/>
    </row>
    <row r="51" spans="1:10" ht="15.75" customHeight="1" hidden="1">
      <c r="A51" s="163" t="s">
        <v>666</v>
      </c>
      <c r="B51" s="71" t="s">
        <v>626</v>
      </c>
      <c r="C51" s="213"/>
      <c r="D51" s="32"/>
      <c r="E51" s="32"/>
      <c r="F51" s="10"/>
      <c r="G51" s="2"/>
      <c r="H51" s="2"/>
      <c r="I51" s="2"/>
      <c r="J51" s="2"/>
    </row>
    <row r="52" spans="1:10" ht="15.75" customHeight="1" hidden="1">
      <c r="A52" s="163" t="s">
        <v>667</v>
      </c>
      <c r="B52" s="71" t="s">
        <v>628</v>
      </c>
      <c r="C52" s="213"/>
      <c r="D52" s="32"/>
      <c r="E52" s="32"/>
      <c r="F52" s="10"/>
      <c r="G52" s="2"/>
      <c r="H52" s="2"/>
      <c r="I52" s="2"/>
      <c r="J52" s="2"/>
    </row>
    <row r="53" spans="1:10" ht="15.75" customHeight="1" hidden="1">
      <c r="A53" s="163" t="s">
        <v>668</v>
      </c>
      <c r="B53" s="71" t="s">
        <v>630</v>
      </c>
      <c r="C53" s="213"/>
      <c r="D53" s="32"/>
      <c r="E53" s="32"/>
      <c r="F53" s="10"/>
      <c r="G53" s="2"/>
      <c r="H53" s="2"/>
      <c r="I53" s="2"/>
      <c r="J53" s="2"/>
    </row>
    <row r="54" spans="1:10" ht="15.75" customHeight="1" hidden="1">
      <c r="A54" s="163" t="s">
        <v>669</v>
      </c>
      <c r="B54" s="71" t="s">
        <v>632</v>
      </c>
      <c r="C54" s="213"/>
      <c r="D54" s="32"/>
      <c r="E54" s="32"/>
      <c r="F54" s="10"/>
      <c r="G54" s="2"/>
      <c r="H54" s="2"/>
      <c r="I54" s="2"/>
      <c r="J54" s="2"/>
    </row>
    <row r="55" spans="1:10" ht="15.75" customHeight="1" hidden="1">
      <c r="A55" s="163" t="s">
        <v>670</v>
      </c>
      <c r="B55" s="71" t="s">
        <v>634</v>
      </c>
      <c r="C55" s="213"/>
      <c r="D55" s="32"/>
      <c r="E55" s="32"/>
      <c r="F55" s="10"/>
      <c r="G55" s="2"/>
      <c r="H55" s="2"/>
      <c r="I55" s="2"/>
      <c r="J55" s="2"/>
    </row>
    <row r="56" spans="1:10" ht="15.75" customHeight="1" hidden="1">
      <c r="A56" s="163" t="s">
        <v>671</v>
      </c>
      <c r="B56" s="71" t="s">
        <v>636</v>
      </c>
      <c r="C56" s="213"/>
      <c r="D56" s="32"/>
      <c r="E56" s="32"/>
      <c r="F56" s="10"/>
      <c r="G56" s="2"/>
      <c r="H56" s="2"/>
      <c r="I56" s="2"/>
      <c r="J56" s="2"/>
    </row>
    <row r="57" spans="1:10" ht="15.75" customHeight="1" hidden="1">
      <c r="A57" s="163" t="s">
        <v>672</v>
      </c>
      <c r="B57" s="71" t="s">
        <v>638</v>
      </c>
      <c r="C57" s="213"/>
      <c r="D57" s="32"/>
      <c r="E57" s="32"/>
      <c r="F57" s="10"/>
      <c r="G57" s="2"/>
      <c r="H57" s="2"/>
      <c r="I57" s="2"/>
      <c r="J57" s="2"/>
    </row>
    <row r="58" spans="1:10" ht="31.5" customHeight="1" hidden="1">
      <c r="A58" s="201" t="s">
        <v>673</v>
      </c>
      <c r="B58" s="22" t="s">
        <v>674</v>
      </c>
      <c r="C58" s="214">
        <f>SUM(C59)</f>
        <v>0</v>
      </c>
      <c r="D58" s="214">
        <f>SUM(D59)</f>
        <v>0</v>
      </c>
      <c r="E58" s="214">
        <f>SUM(E59)</f>
        <v>0</v>
      </c>
      <c r="F58" s="10"/>
      <c r="G58" s="2"/>
      <c r="H58" s="2"/>
      <c r="I58" s="2"/>
      <c r="J58" s="2"/>
    </row>
    <row r="59" spans="1:10" ht="15.75" customHeight="1" hidden="1">
      <c r="A59" s="163" t="s">
        <v>675</v>
      </c>
      <c r="B59" s="71" t="s">
        <v>676</v>
      </c>
      <c r="C59" s="213"/>
      <c r="D59" s="32"/>
      <c r="E59" s="32"/>
      <c r="F59" s="10"/>
      <c r="G59" s="2"/>
      <c r="H59" s="2"/>
      <c r="I59" s="2"/>
      <c r="J59" s="2"/>
    </row>
    <row r="60" spans="1:10" ht="78.75" customHeight="1">
      <c r="A60" s="164" t="s">
        <v>677</v>
      </c>
      <c r="B60" s="87" t="s">
        <v>207</v>
      </c>
      <c r="C60" s="133">
        <f>SUM(C61:C61)</f>
        <v>1508529.34</v>
      </c>
      <c r="D60" s="133">
        <f>SUM(D61:D61)</f>
        <v>0</v>
      </c>
      <c r="E60" s="133">
        <f>SUM(E61:E61)</f>
        <v>0</v>
      </c>
      <c r="F60" s="10"/>
      <c r="G60" s="2"/>
      <c r="H60" s="2"/>
      <c r="I60" s="10"/>
      <c r="J60" s="2"/>
    </row>
    <row r="61" spans="1:10" ht="15.75" customHeight="1">
      <c r="A61" s="163" t="s">
        <v>650</v>
      </c>
      <c r="B61" s="71" t="s">
        <v>618</v>
      </c>
      <c r="C61" s="213">
        <v>1508529.34</v>
      </c>
      <c r="D61" s="213"/>
      <c r="E61" s="213"/>
      <c r="F61" s="10"/>
      <c r="G61" s="2"/>
      <c r="H61" s="2"/>
      <c r="I61" s="10"/>
      <c r="J61" s="2"/>
    </row>
    <row r="62" spans="1:10" ht="47.25" customHeight="1">
      <c r="A62" s="85" t="s">
        <v>678</v>
      </c>
      <c r="B62" s="87" t="s">
        <v>679</v>
      </c>
      <c r="C62" s="62">
        <f>C63+C65</f>
        <v>573425090.56</v>
      </c>
      <c r="D62" s="62">
        <f>D63+D65</f>
        <v>0</v>
      </c>
      <c r="E62" s="62">
        <f>E63+E65</f>
        <v>0</v>
      </c>
      <c r="F62" s="10"/>
      <c r="G62" s="2"/>
      <c r="H62" s="2"/>
      <c r="I62" s="10"/>
      <c r="J62" s="2"/>
    </row>
    <row r="63" spans="1:10" ht="30.75" customHeight="1">
      <c r="A63" s="59" t="s">
        <v>662</v>
      </c>
      <c r="B63" s="71" t="s">
        <v>466</v>
      </c>
      <c r="C63" s="145">
        <f>C64</f>
        <v>340931000</v>
      </c>
      <c r="D63" s="145">
        <f>D64</f>
        <v>0</v>
      </c>
      <c r="E63" s="145">
        <f>E64</f>
        <v>0</v>
      </c>
      <c r="F63" s="10"/>
      <c r="G63" s="2"/>
      <c r="H63" s="2"/>
      <c r="I63" s="10"/>
      <c r="J63" s="2"/>
    </row>
    <row r="64" spans="1:10" ht="15.75" customHeight="1">
      <c r="A64" s="163" t="s">
        <v>680</v>
      </c>
      <c r="B64" s="71" t="s">
        <v>681</v>
      </c>
      <c r="C64" s="145">
        <v>340931000</v>
      </c>
      <c r="D64" s="145">
        <v>0</v>
      </c>
      <c r="E64" s="145">
        <v>0</v>
      </c>
      <c r="F64" s="10"/>
      <c r="G64" s="2"/>
      <c r="H64" s="2"/>
      <c r="I64" s="10"/>
      <c r="J64" s="2"/>
    </row>
    <row r="65" spans="1:10" ht="30.75" customHeight="1">
      <c r="A65" s="59" t="s">
        <v>663</v>
      </c>
      <c r="B65" s="71" t="s">
        <v>469</v>
      </c>
      <c r="C65" s="145">
        <f>SUM(C67:C77)</f>
        <v>232494090.56</v>
      </c>
      <c r="D65" s="145">
        <f>SUM(D67:D76)</f>
        <v>0</v>
      </c>
      <c r="E65" s="145">
        <f>SUM(E67:E76)</f>
        <v>0</v>
      </c>
      <c r="F65" s="10"/>
      <c r="G65" s="2"/>
      <c r="H65" s="25">
        <v>-60938341.09</v>
      </c>
      <c r="I65" s="10"/>
      <c r="J65" s="2"/>
    </row>
    <row r="66" spans="1:10" ht="15.75" customHeight="1">
      <c r="A66" s="59"/>
      <c r="B66" s="111"/>
      <c r="C66" s="145"/>
      <c r="D66" s="145"/>
      <c r="E66" s="145"/>
      <c r="F66" s="10"/>
      <c r="G66" s="2"/>
      <c r="H66" s="25"/>
      <c r="I66" s="10"/>
      <c r="J66" s="2"/>
    </row>
    <row r="67" spans="1:10" ht="15.75" customHeight="1">
      <c r="A67" s="163" t="s">
        <v>682</v>
      </c>
      <c r="B67" s="174" t="s">
        <v>618</v>
      </c>
      <c r="C67" s="145">
        <f>5378140+646+70151093.22+40414971.6+21325752.29+10271520.06+880521.6+1966425.6+300000</f>
        <v>150689070.37</v>
      </c>
      <c r="D67" s="145"/>
      <c r="E67" s="145"/>
      <c r="F67" s="10"/>
      <c r="G67" s="45">
        <v>99283873.38</v>
      </c>
      <c r="H67" s="25">
        <v>-13418467.26</v>
      </c>
      <c r="I67" s="10"/>
      <c r="J67" s="2"/>
    </row>
    <row r="68" spans="1:10" ht="15.75" customHeight="1">
      <c r="A68" s="163" t="s">
        <v>683</v>
      </c>
      <c r="B68" s="71" t="s">
        <v>620</v>
      </c>
      <c r="C68" s="145">
        <f>3000000+1721316.7+2104465.93</f>
        <v>6825782.63</v>
      </c>
      <c r="D68" s="145"/>
      <c r="E68" s="145"/>
      <c r="F68" s="10"/>
      <c r="G68" s="2"/>
      <c r="H68" s="25">
        <v>-3825782.63</v>
      </c>
      <c r="I68" s="10"/>
      <c r="J68" s="2"/>
    </row>
    <row r="69" spans="1:10" ht="15.75" customHeight="1">
      <c r="A69" s="163" t="s">
        <v>684</v>
      </c>
      <c r="B69" s="71" t="s">
        <v>622</v>
      </c>
      <c r="C69" s="145">
        <f>3000000+5558964.58</f>
        <v>8558964.58</v>
      </c>
      <c r="D69" s="145"/>
      <c r="E69" s="145"/>
      <c r="F69" s="10"/>
      <c r="G69" s="2"/>
      <c r="H69" s="25">
        <v>0</v>
      </c>
      <c r="I69" s="10"/>
      <c r="J69" s="2"/>
    </row>
    <row r="70" spans="1:10" ht="15.75" customHeight="1">
      <c r="A70" s="163" t="s">
        <v>685</v>
      </c>
      <c r="B70" s="71" t="s">
        <v>624</v>
      </c>
      <c r="C70" s="145">
        <f>1000000+1000000+3000000+6974482</f>
        <v>11974482</v>
      </c>
      <c r="D70" s="145"/>
      <c r="E70" s="145"/>
      <c r="F70" s="10"/>
      <c r="G70" s="2"/>
      <c r="H70" s="25">
        <v>-6974482</v>
      </c>
      <c r="I70" s="10"/>
      <c r="J70" s="2"/>
    </row>
    <row r="71" spans="1:10" ht="15.75" customHeight="1">
      <c r="A71" s="163" t="s">
        <v>686</v>
      </c>
      <c r="B71" s="71" t="s">
        <v>626</v>
      </c>
      <c r="C71" s="145">
        <f>1000000+1093637.46+2452689.54</f>
        <v>4546327</v>
      </c>
      <c r="D71" s="145"/>
      <c r="E71" s="145"/>
      <c r="F71" s="10"/>
      <c r="G71" s="2"/>
      <c r="H71" s="25">
        <v>-2452689.54</v>
      </c>
      <c r="I71" s="10"/>
      <c r="J71" s="2"/>
    </row>
    <row r="72" spans="1:10" ht="15.75" customHeight="1">
      <c r="A72" s="163" t="s">
        <v>687</v>
      </c>
      <c r="B72" s="71" t="s">
        <v>628</v>
      </c>
      <c r="C72" s="145">
        <f>1000000+200000+1972187.62+6854482+578360.6</f>
        <v>10605030.22</v>
      </c>
      <c r="D72" s="145"/>
      <c r="E72" s="145"/>
      <c r="F72" s="10"/>
      <c r="G72" s="2"/>
      <c r="H72" s="25">
        <v>-7432842.6</v>
      </c>
      <c r="I72" s="10"/>
      <c r="J72" s="2"/>
    </row>
    <row r="73" spans="1:10" ht="15.75" customHeight="1">
      <c r="A73" s="163" t="s">
        <v>688</v>
      </c>
      <c r="B73" s="71" t="s">
        <v>630</v>
      </c>
      <c r="C73" s="145">
        <f>1000000+716500+5505850</f>
        <v>7222350</v>
      </c>
      <c r="D73" s="145"/>
      <c r="E73" s="145"/>
      <c r="F73" s="10"/>
      <c r="G73" s="2"/>
      <c r="H73" s="25">
        <v>-5505850</v>
      </c>
      <c r="I73" s="10"/>
      <c r="J73" s="2"/>
    </row>
    <row r="74" spans="1:10" ht="15.75" customHeight="1">
      <c r="A74" s="163" t="s">
        <v>689</v>
      </c>
      <c r="B74" s="71" t="s">
        <v>632</v>
      </c>
      <c r="C74" s="145">
        <f>1000000+2000000+6854482</f>
        <v>9854482</v>
      </c>
      <c r="D74" s="145"/>
      <c r="E74" s="145"/>
      <c r="F74" s="10"/>
      <c r="G74" s="2"/>
      <c r="H74" s="25">
        <v>-6854482</v>
      </c>
      <c r="I74" s="10"/>
      <c r="J74" s="2"/>
    </row>
    <row r="75" spans="1:10" ht="15.75" customHeight="1">
      <c r="A75" s="163" t="s">
        <v>690</v>
      </c>
      <c r="B75" s="71" t="s">
        <v>634</v>
      </c>
      <c r="C75" s="145">
        <f>1000000+2750000+8087744</f>
        <v>11837744</v>
      </c>
      <c r="D75" s="145"/>
      <c r="E75" s="145"/>
      <c r="F75" s="10"/>
      <c r="G75" s="2"/>
      <c r="H75" s="25">
        <v>-8087744</v>
      </c>
      <c r="I75" s="10"/>
      <c r="J75" s="2"/>
    </row>
    <row r="76" spans="1:10" ht="15.75" customHeight="1">
      <c r="A76" s="163" t="s">
        <v>691</v>
      </c>
      <c r="B76" s="71" t="s">
        <v>636</v>
      </c>
      <c r="C76" s="145">
        <f>1000000+5621220</f>
        <v>6621220</v>
      </c>
      <c r="D76" s="145"/>
      <c r="E76" s="145"/>
      <c r="F76" s="10"/>
      <c r="G76" s="2"/>
      <c r="H76" s="25">
        <v>-5621220</v>
      </c>
      <c r="I76" s="10"/>
      <c r="J76" s="2"/>
    </row>
    <row r="77" spans="1:10" ht="15.75" customHeight="1">
      <c r="A77" s="163" t="s">
        <v>692</v>
      </c>
      <c r="B77" s="71" t="s">
        <v>638</v>
      </c>
      <c r="C77" s="145">
        <f>1000000+1993856.7+217600+547181.06</f>
        <v>3758637.76</v>
      </c>
      <c r="D77" s="145"/>
      <c r="E77" s="145"/>
      <c r="F77" s="10"/>
      <c r="G77" s="2"/>
      <c r="H77" s="25">
        <v>-764781.06</v>
      </c>
      <c r="I77" s="10"/>
      <c r="J77" s="2"/>
    </row>
    <row r="78" spans="1:10" ht="41.25" customHeight="1">
      <c r="A78" s="164" t="s">
        <v>693</v>
      </c>
      <c r="B78" s="87" t="s">
        <v>694</v>
      </c>
      <c r="C78" s="141">
        <f>SUM(C79:C89)</f>
        <v>4872856</v>
      </c>
      <c r="D78" s="141">
        <f>SUM(D79:D88)</f>
        <v>0</v>
      </c>
      <c r="E78" s="141">
        <f>SUM(E79:E88)</f>
        <v>0</v>
      </c>
      <c r="F78" s="10"/>
      <c r="G78" s="2"/>
      <c r="H78" s="2"/>
      <c r="I78" s="10"/>
      <c r="J78" s="2"/>
    </row>
    <row r="79" spans="1:10" ht="15.75" customHeight="1">
      <c r="A79" s="163" t="s">
        <v>675</v>
      </c>
      <c r="B79" s="71" t="s">
        <v>618</v>
      </c>
      <c r="C79" s="145">
        <f>442870+411214</f>
        <v>854084</v>
      </c>
      <c r="D79" s="145"/>
      <c r="E79" s="145"/>
      <c r="F79" s="10"/>
      <c r="G79" s="2"/>
      <c r="H79" s="2"/>
      <c r="I79" s="10"/>
      <c r="J79" s="2"/>
    </row>
    <row r="80" spans="1:10" ht="15.75" customHeight="1">
      <c r="A80" s="163" t="s">
        <v>695</v>
      </c>
      <c r="B80" s="71" t="s">
        <v>620</v>
      </c>
      <c r="C80" s="145">
        <f>499380+167726</f>
        <v>667106</v>
      </c>
      <c r="D80" s="145"/>
      <c r="E80" s="145"/>
      <c r="F80" s="10"/>
      <c r="G80" s="2"/>
      <c r="H80" s="2"/>
      <c r="I80" s="10"/>
      <c r="J80" s="2"/>
    </row>
    <row r="81" spans="1:10" ht="15.75" customHeight="1">
      <c r="A81" s="163" t="s">
        <v>696</v>
      </c>
      <c r="B81" s="71" t="s">
        <v>622</v>
      </c>
      <c r="C81" s="145">
        <f>374110+125326</f>
        <v>499436</v>
      </c>
      <c r="D81" s="145"/>
      <c r="E81" s="145"/>
      <c r="F81" s="10"/>
      <c r="G81" s="2"/>
      <c r="H81" s="2"/>
      <c r="I81" s="10"/>
      <c r="J81" s="2"/>
    </row>
    <row r="82" spans="1:10" ht="15.75" customHeight="1">
      <c r="A82" s="163" t="s">
        <v>697</v>
      </c>
      <c r="B82" s="71" t="s">
        <v>624</v>
      </c>
      <c r="C82" s="145">
        <f>318430+89500</f>
        <v>407930</v>
      </c>
      <c r="D82" s="145"/>
      <c r="E82" s="145"/>
      <c r="F82" s="10"/>
      <c r="G82" s="2"/>
      <c r="H82" s="2"/>
      <c r="I82" s="10"/>
      <c r="J82" s="2"/>
    </row>
    <row r="83" spans="1:10" ht="15.75" customHeight="1">
      <c r="A83" s="163" t="s">
        <v>698</v>
      </c>
      <c r="B83" s="71" t="s">
        <v>626</v>
      </c>
      <c r="C83" s="145">
        <f>186540+23900</f>
        <v>210440</v>
      </c>
      <c r="D83" s="145"/>
      <c r="E83" s="145"/>
      <c r="F83" s="10"/>
      <c r="G83" s="2"/>
      <c r="H83" s="2"/>
      <c r="I83" s="10"/>
      <c r="J83" s="2"/>
    </row>
    <row r="84" spans="1:10" ht="15.75" customHeight="1">
      <c r="A84" s="163" t="s">
        <v>699</v>
      </c>
      <c r="B84" s="71" t="s">
        <v>628</v>
      </c>
      <c r="C84" s="145">
        <f>172380+23900+130200</f>
        <v>326480</v>
      </c>
      <c r="D84" s="145"/>
      <c r="E84" s="145"/>
      <c r="F84" s="10"/>
      <c r="G84" s="2"/>
      <c r="H84" s="2"/>
      <c r="I84" s="10"/>
      <c r="J84" s="2"/>
    </row>
    <row r="85" spans="1:10" ht="15.75" customHeight="1">
      <c r="A85" s="163" t="s">
        <v>700</v>
      </c>
      <c r="B85" s="71" t="s">
        <v>630</v>
      </c>
      <c r="C85" s="145">
        <f>458130+179000</f>
        <v>637130</v>
      </c>
      <c r="D85" s="145"/>
      <c r="E85" s="145"/>
      <c r="F85" s="10"/>
      <c r="G85" s="2"/>
      <c r="H85" s="2"/>
      <c r="I85" s="10"/>
      <c r="J85" s="2"/>
    </row>
    <row r="86" spans="1:10" ht="15.75" customHeight="1">
      <c r="A86" s="163" t="s">
        <v>701</v>
      </c>
      <c r="B86" s="71" t="s">
        <v>632</v>
      </c>
      <c r="C86" s="145">
        <f>692100+125700</f>
        <v>817800</v>
      </c>
      <c r="D86" s="145"/>
      <c r="E86" s="145"/>
      <c r="F86" s="10"/>
      <c r="G86" s="2"/>
      <c r="H86" s="2"/>
      <c r="I86" s="10"/>
      <c r="J86" s="2"/>
    </row>
    <row r="87" spans="1:10" ht="15.75" customHeight="1">
      <c r="A87" s="163" t="s">
        <v>702</v>
      </c>
      <c r="B87" s="71" t="s">
        <v>634</v>
      </c>
      <c r="C87" s="145">
        <f>126050+101400</f>
        <v>227450</v>
      </c>
      <c r="D87" s="145"/>
      <c r="E87" s="145"/>
      <c r="F87" s="10"/>
      <c r="G87" s="2"/>
      <c r="H87" s="2"/>
      <c r="I87" s="10"/>
      <c r="J87" s="2"/>
    </row>
    <row r="88" spans="1:10" ht="15.75" customHeight="1">
      <c r="A88" s="163" t="s">
        <v>703</v>
      </c>
      <c r="B88" s="71" t="s">
        <v>636</v>
      </c>
      <c r="C88" s="145">
        <f>135500+77600</f>
        <v>213100</v>
      </c>
      <c r="D88" s="145"/>
      <c r="E88" s="145"/>
      <c r="F88" s="10"/>
      <c r="G88" s="2"/>
      <c r="H88" s="2"/>
      <c r="I88" s="10"/>
      <c r="J88" s="2"/>
    </row>
    <row r="89" spans="1:10" ht="15.75" customHeight="1">
      <c r="A89" s="163" t="s">
        <v>704</v>
      </c>
      <c r="B89" s="71" t="s">
        <v>638</v>
      </c>
      <c r="C89" s="145">
        <f>11900</f>
        <v>11900</v>
      </c>
      <c r="D89" s="145"/>
      <c r="E89" s="145"/>
      <c r="F89" s="10"/>
      <c r="G89" s="2"/>
      <c r="H89" s="2"/>
      <c r="I89" s="10"/>
      <c r="J89" s="2"/>
    </row>
    <row r="90" spans="1:10" ht="15.75" customHeight="1">
      <c r="A90" s="34"/>
      <c r="B90" s="136" t="s">
        <v>259</v>
      </c>
      <c r="C90" s="32">
        <f>C13+C25+C60+C62+C78</f>
        <v>838673475.9</v>
      </c>
      <c r="D90" s="32">
        <f>D13+D25+D60+D62+D78</f>
        <v>210403400</v>
      </c>
      <c r="E90" s="32">
        <f>E13+E25+E60+E62+E78</f>
        <v>210849100</v>
      </c>
      <c r="F90" s="10"/>
      <c r="G90" s="2"/>
      <c r="H90" s="2"/>
      <c r="I90" s="10"/>
      <c r="J90" s="2"/>
    </row>
    <row r="91" spans="1:10" ht="15.75" customHeight="1">
      <c r="A91" s="36"/>
      <c r="B91" s="215"/>
      <c r="C91" s="216"/>
      <c r="D91" s="216"/>
      <c r="E91" s="216"/>
      <c r="F91" s="2"/>
      <c r="G91" s="2"/>
      <c r="H91" s="2"/>
      <c r="I91" s="2"/>
      <c r="J91" s="2"/>
    </row>
  </sheetData>
  <mergeCells count="1">
    <mergeCell ref="A10:E10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64"/>
  <headerFooter alignWithMargins="0"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7.421875" style="217" customWidth="1"/>
    <col min="2" max="2" width="79.421875" style="217" customWidth="1"/>
    <col min="3" max="3" width="19.7109375" style="217" customWidth="1"/>
    <col min="4" max="4" width="23.7109375" style="217" customWidth="1"/>
    <col min="5" max="5" width="19.421875" style="217" customWidth="1"/>
    <col min="6" max="256" width="8.8515625" style="217" customWidth="1"/>
  </cols>
  <sheetData>
    <row r="1" spans="1:5" ht="13.5" customHeight="1">
      <c r="A1" s="2"/>
      <c r="B1" s="2"/>
      <c r="C1" s="2"/>
      <c r="D1" s="2"/>
      <c r="E1" s="2"/>
    </row>
    <row r="2" spans="1:5" ht="18.75" customHeight="1">
      <c r="A2" s="2"/>
      <c r="B2" s="218"/>
      <c r="C2" s="212" t="s">
        <v>705</v>
      </c>
      <c r="D2" s="2"/>
      <c r="E2" s="2"/>
    </row>
    <row r="3" spans="1:5" ht="18.75" customHeight="1">
      <c r="A3" s="2"/>
      <c r="B3" s="219"/>
      <c r="C3" s="212" t="s">
        <v>377</v>
      </c>
      <c r="D3" s="2"/>
      <c r="E3" s="2"/>
    </row>
    <row r="4" spans="1:5" ht="18.75" customHeight="1">
      <c r="A4" s="2"/>
      <c r="B4" s="219"/>
      <c r="C4" s="212" t="s">
        <v>2</v>
      </c>
      <c r="D4" s="2"/>
      <c r="E4" s="2"/>
    </row>
    <row r="5" spans="1:5" ht="18.75" customHeight="1">
      <c r="A5" s="2"/>
      <c r="B5" s="218"/>
      <c r="C5" s="212" t="s">
        <v>3</v>
      </c>
      <c r="D5" s="2"/>
      <c r="E5" s="2"/>
    </row>
    <row r="6" spans="1:5" ht="18.75" customHeight="1">
      <c r="A6" s="2"/>
      <c r="B6" s="219"/>
      <c r="C6" s="212" t="s">
        <v>4</v>
      </c>
      <c r="D6" s="2"/>
      <c r="E6" s="2"/>
    </row>
    <row r="7" spans="1:5" ht="18.75" customHeight="1">
      <c r="A7" s="2"/>
      <c r="B7" s="219"/>
      <c r="C7" s="212" t="s">
        <v>253</v>
      </c>
      <c r="D7" s="2"/>
      <c r="E7" s="2"/>
    </row>
    <row r="8" spans="1:5" ht="18.75" customHeight="1">
      <c r="A8" s="2"/>
      <c r="B8" s="2"/>
      <c r="C8" s="212" t="s">
        <v>254</v>
      </c>
      <c r="D8" s="2"/>
      <c r="E8" s="2"/>
    </row>
    <row r="9" spans="1:5" ht="13.5" customHeight="1">
      <c r="A9" s="2"/>
      <c r="B9" s="2"/>
      <c r="C9" s="2"/>
      <c r="D9" s="2"/>
      <c r="E9" s="2"/>
    </row>
    <row r="10" spans="1:5" ht="13.5" customHeight="1">
      <c r="A10" s="2"/>
      <c r="B10" s="2"/>
      <c r="C10" s="2"/>
      <c r="D10" s="2"/>
      <c r="E10" s="2"/>
    </row>
    <row r="11" spans="1:5" ht="51.75" customHeight="1">
      <c r="A11" s="54" t="s">
        <v>706</v>
      </c>
      <c r="B11" s="55"/>
      <c r="C11" s="55"/>
      <c r="D11" s="55"/>
      <c r="E11" s="55"/>
    </row>
    <row r="12" spans="1:5" ht="13.5" customHeight="1">
      <c r="A12" s="7"/>
      <c r="B12" s="7"/>
      <c r="C12" s="7"/>
      <c r="D12" s="7"/>
      <c r="E12" s="157" t="s">
        <v>256</v>
      </c>
    </row>
    <row r="13" spans="1:5" ht="30" customHeight="1">
      <c r="A13" s="220"/>
      <c r="B13" s="92" t="s">
        <v>707</v>
      </c>
      <c r="C13" s="59" t="s">
        <v>10</v>
      </c>
      <c r="D13" s="59" t="s">
        <v>11</v>
      </c>
      <c r="E13" s="59" t="s">
        <v>12</v>
      </c>
    </row>
    <row r="14" spans="1:5" ht="28.5" customHeight="1">
      <c r="A14" s="175"/>
      <c r="B14" s="87" t="s">
        <v>708</v>
      </c>
      <c r="C14" s="133">
        <f>C18+C21+C27+C24</f>
        <v>944345287.2</v>
      </c>
      <c r="D14" s="133">
        <f>D18+D21+D27+D24</f>
        <v>197483551.42</v>
      </c>
      <c r="E14" s="133">
        <f>E18+E21+E27+E24</f>
        <v>142109613.6116</v>
      </c>
    </row>
    <row r="15" spans="1:5" ht="15.75" customHeight="1">
      <c r="A15" s="134" t="s">
        <v>709</v>
      </c>
      <c r="B15" s="87" t="s">
        <v>710</v>
      </c>
      <c r="C15" s="133"/>
      <c r="D15" s="136" t="s">
        <v>711</v>
      </c>
      <c r="E15" s="32"/>
    </row>
    <row r="16" spans="1:5" ht="15.75" customHeight="1">
      <c r="A16" s="143" t="s">
        <v>712</v>
      </c>
      <c r="B16" s="71" t="s">
        <v>713</v>
      </c>
      <c r="C16" s="213"/>
      <c r="D16" s="32"/>
      <c r="E16" s="32"/>
    </row>
    <row r="17" spans="1:5" ht="15.75" customHeight="1">
      <c r="A17" s="143" t="s">
        <v>714</v>
      </c>
      <c r="B17" s="71" t="s">
        <v>715</v>
      </c>
      <c r="C17" s="213"/>
      <c r="D17" s="32"/>
      <c r="E17" s="32"/>
    </row>
    <row r="18" spans="1:5" ht="15.75" customHeight="1">
      <c r="A18" s="134" t="s">
        <v>716</v>
      </c>
      <c r="B18" s="87" t="s">
        <v>717</v>
      </c>
      <c r="C18" s="133">
        <f>C19+C20</f>
        <v>191905009.75</v>
      </c>
      <c r="D18" s="133">
        <f>D19+D20</f>
        <v>0</v>
      </c>
      <c r="E18" s="133">
        <f>E19+E20</f>
        <v>0</v>
      </c>
    </row>
    <row r="19" spans="1:5" ht="15.75" customHeight="1">
      <c r="A19" s="143" t="s">
        <v>718</v>
      </c>
      <c r="B19" s="71" t="s">
        <v>713</v>
      </c>
      <c r="C19" s="213">
        <f>231800000-29822282.99+225751.18-27000000+3748947+12952594.56</f>
        <v>191905009.75</v>
      </c>
      <c r="D19" s="32"/>
      <c r="E19" s="32"/>
    </row>
    <row r="20" spans="1:5" ht="15.75" customHeight="1">
      <c r="A20" s="143" t="s">
        <v>719</v>
      </c>
      <c r="B20" s="71" t="s">
        <v>715</v>
      </c>
      <c r="C20" s="213"/>
      <c r="D20" s="32"/>
      <c r="E20" s="32"/>
    </row>
    <row r="21" spans="1:5" ht="15.75" customHeight="1">
      <c r="A21" s="134" t="s">
        <v>720</v>
      </c>
      <c r="B21" s="87" t="s">
        <v>721</v>
      </c>
      <c r="C21" s="133">
        <f>C22+C23</f>
        <v>0</v>
      </c>
      <c r="D21" s="133">
        <f>D22+D23</f>
        <v>0</v>
      </c>
      <c r="E21" s="133">
        <f>E22+E23</f>
        <v>0</v>
      </c>
    </row>
    <row r="22" spans="1:5" ht="15.75" customHeight="1">
      <c r="A22" s="143" t="s">
        <v>722</v>
      </c>
      <c r="B22" s="71" t="s">
        <v>713</v>
      </c>
      <c r="C22" s="145"/>
      <c r="D22" s="32"/>
      <c r="E22" s="221"/>
    </row>
    <row r="23" spans="1:5" ht="15.75" customHeight="1">
      <c r="A23" s="143" t="s">
        <v>723</v>
      </c>
      <c r="B23" s="71" t="s">
        <v>715</v>
      </c>
      <c r="C23" s="222"/>
      <c r="D23" s="32"/>
      <c r="E23" s="32"/>
    </row>
    <row r="24" spans="1:5" ht="31.5" customHeight="1">
      <c r="A24" s="134" t="s">
        <v>678</v>
      </c>
      <c r="B24" s="87" t="s">
        <v>724</v>
      </c>
      <c r="C24" s="133">
        <f>C25+C26</f>
        <v>748214813.05</v>
      </c>
      <c r="D24" s="133">
        <f>D25+D26</f>
        <v>197483551.42</v>
      </c>
      <c r="E24" s="133">
        <f>E25+E26</f>
        <v>142109613.6116</v>
      </c>
    </row>
    <row r="25" spans="1:5" ht="15.75" customHeight="1">
      <c r="A25" s="143" t="s">
        <v>725</v>
      </c>
      <c r="B25" s="71" t="s">
        <v>726</v>
      </c>
      <c r="C25" s="213">
        <v>-4256108376.05</v>
      </c>
      <c r="D25" s="213">
        <v>-3679199939.68</v>
      </c>
      <c r="E25" s="213">
        <v>-3632291649.68</v>
      </c>
    </row>
    <row r="26" spans="1:5" ht="15.75" customHeight="1">
      <c r="A26" s="143" t="s">
        <v>727</v>
      </c>
      <c r="B26" s="71" t="s">
        <v>728</v>
      </c>
      <c r="C26" s="213">
        <v>5004323189.1</v>
      </c>
      <c r="D26" s="213">
        <v>3876683491.1</v>
      </c>
      <c r="E26" s="213">
        <v>3774401263.2916</v>
      </c>
    </row>
    <row r="27" spans="1:5" ht="31.5" customHeight="1">
      <c r="A27" s="134" t="s">
        <v>693</v>
      </c>
      <c r="B27" s="87" t="s">
        <v>729</v>
      </c>
      <c r="C27" s="133">
        <f>C35</f>
        <v>4225464.4</v>
      </c>
      <c r="D27" s="133">
        <f>D35</f>
        <v>0</v>
      </c>
      <c r="E27" s="133">
        <f>E35</f>
        <v>0</v>
      </c>
    </row>
    <row r="28" spans="1:5" ht="31.5" customHeight="1">
      <c r="A28" s="134" t="s">
        <v>730</v>
      </c>
      <c r="B28" s="87" t="s">
        <v>731</v>
      </c>
      <c r="C28" s="133">
        <v>0</v>
      </c>
      <c r="D28" s="133">
        <v>0</v>
      </c>
      <c r="E28" s="133">
        <v>0</v>
      </c>
    </row>
    <row r="29" spans="1:5" ht="15.75" customHeight="1">
      <c r="A29" s="143" t="s">
        <v>732</v>
      </c>
      <c r="B29" s="71" t="s">
        <v>733</v>
      </c>
      <c r="C29" s="213"/>
      <c r="D29" s="32"/>
      <c r="E29" s="32"/>
    </row>
    <row r="30" spans="1:5" ht="15.75" customHeight="1">
      <c r="A30" s="143" t="s">
        <v>734</v>
      </c>
      <c r="B30" s="71" t="s">
        <v>735</v>
      </c>
      <c r="C30" s="213"/>
      <c r="D30" s="32"/>
      <c r="E30" s="32"/>
    </row>
    <row r="31" spans="1:5" ht="31.5" customHeight="1">
      <c r="A31" s="134" t="s">
        <v>736</v>
      </c>
      <c r="B31" s="87" t="s">
        <v>737</v>
      </c>
      <c r="C31" s="133">
        <v>0</v>
      </c>
      <c r="D31" s="133">
        <v>0</v>
      </c>
      <c r="E31" s="133">
        <v>0</v>
      </c>
    </row>
    <row r="32" spans="1:5" ht="15.75" customHeight="1">
      <c r="A32" s="143" t="s">
        <v>738</v>
      </c>
      <c r="B32" s="71" t="s">
        <v>739</v>
      </c>
      <c r="C32" s="213"/>
      <c r="D32" s="32"/>
      <c r="E32" s="32"/>
    </row>
    <row r="33" spans="1:5" ht="15.75" customHeight="1">
      <c r="A33" s="143" t="s">
        <v>740</v>
      </c>
      <c r="B33" s="71" t="s">
        <v>741</v>
      </c>
      <c r="C33" s="213"/>
      <c r="D33" s="32"/>
      <c r="E33" s="32"/>
    </row>
    <row r="34" spans="1:5" ht="15.75" customHeight="1">
      <c r="A34" s="134" t="s">
        <v>742</v>
      </c>
      <c r="B34" s="87" t="s">
        <v>743</v>
      </c>
      <c r="C34" s="133">
        <v>0</v>
      </c>
      <c r="D34" s="133">
        <v>0</v>
      </c>
      <c r="E34" s="133">
        <v>0</v>
      </c>
    </row>
    <row r="35" spans="1:5" ht="31.5" customHeight="1">
      <c r="A35" s="134" t="s">
        <v>744</v>
      </c>
      <c r="B35" s="87" t="s">
        <v>745</v>
      </c>
      <c r="C35" s="133">
        <f>SUM(C36:C37)</f>
        <v>4225464.4</v>
      </c>
      <c r="D35" s="133">
        <f>SUM(D37:D37)</f>
        <v>0</v>
      </c>
      <c r="E35" s="133">
        <f>SUM(E37:E37)</f>
        <v>0</v>
      </c>
    </row>
    <row r="36" spans="1:5" ht="15.75" customHeight="1">
      <c r="A36" s="143" t="s">
        <v>746</v>
      </c>
      <c r="B36" s="71" t="s">
        <v>747</v>
      </c>
      <c r="C36" s="213"/>
      <c r="D36" s="213">
        <v>0</v>
      </c>
      <c r="E36" s="213">
        <v>0</v>
      </c>
    </row>
    <row r="37" spans="1:5" ht="15.75" customHeight="1">
      <c r="A37" s="143" t="s">
        <v>748</v>
      </c>
      <c r="B37" s="71" t="s">
        <v>749</v>
      </c>
      <c r="C37" s="223">
        <v>4225464.4</v>
      </c>
      <c r="D37" s="223">
        <v>0</v>
      </c>
      <c r="E37" s="145">
        <v>0</v>
      </c>
    </row>
    <row r="38" spans="1:5" ht="15.75" customHeight="1">
      <c r="A38" s="134" t="s">
        <v>750</v>
      </c>
      <c r="B38" s="87" t="s">
        <v>751</v>
      </c>
      <c r="C38" s="133">
        <f>C39</f>
        <v>0</v>
      </c>
      <c r="D38" s="133">
        <f>D39</f>
        <v>0</v>
      </c>
      <c r="E38" s="133">
        <f>E39</f>
        <v>0</v>
      </c>
    </row>
    <row r="39" spans="1:5" ht="15.75" customHeight="1">
      <c r="A39" s="143" t="s">
        <v>752</v>
      </c>
      <c r="B39" s="71" t="s">
        <v>753</v>
      </c>
      <c r="C39" s="213"/>
      <c r="D39" s="32"/>
      <c r="E39" s="32"/>
    </row>
    <row r="40" spans="1:5" ht="13.5" customHeight="1">
      <c r="A40" s="36"/>
      <c r="B40" s="36"/>
      <c r="C40" s="36"/>
      <c r="D40" s="36"/>
      <c r="E40" s="36"/>
    </row>
    <row r="41" spans="1:5" ht="13.5" customHeight="1">
      <c r="A41" s="2"/>
      <c r="B41" s="2"/>
      <c r="C41" s="224"/>
      <c r="D41" s="224"/>
      <c r="E41" s="224"/>
    </row>
    <row r="42" spans="1:5" ht="13.5" customHeight="1">
      <c r="A42" s="2"/>
      <c r="B42" s="2"/>
      <c r="C42" s="2"/>
      <c r="D42" s="2"/>
      <c r="E42" s="2"/>
    </row>
    <row r="43" spans="1:5" ht="13.5" customHeight="1">
      <c r="A43" s="2"/>
      <c r="B43" s="2"/>
      <c r="C43" s="2"/>
      <c r="D43" s="2"/>
      <c r="E43" s="2"/>
    </row>
    <row r="44" spans="1:5" ht="13.5" customHeight="1">
      <c r="A44" s="2"/>
      <c r="B44" s="225"/>
      <c r="C44" s="2"/>
      <c r="D44" s="2"/>
      <c r="E44" s="2"/>
    </row>
  </sheetData>
  <mergeCells count="1">
    <mergeCell ref="A11:E11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58"/>
  <headerFooter alignWithMargins="0"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"/>
    </sheetView>
  </sheetViews>
  <sheetFormatPr defaultColWidth="10.28125" defaultRowHeight="15" customHeight="1"/>
  <cols>
    <col min="1" max="1" width="9.140625" style="226" customWidth="1"/>
    <col min="2" max="2" width="57.7109375" style="226" customWidth="1"/>
    <col min="3" max="3" width="20.00390625" style="226" customWidth="1"/>
    <col min="4" max="4" width="17.28125" style="226" customWidth="1"/>
    <col min="5" max="6" width="17.140625" style="226" customWidth="1"/>
    <col min="7" max="256" width="9.140625" style="226" customWidth="1"/>
  </cols>
  <sheetData>
    <row r="1" spans="1:6" ht="13.5" customHeight="1">
      <c r="A1" s="2"/>
      <c r="B1" s="2"/>
      <c r="C1" s="2"/>
      <c r="D1" s="2"/>
      <c r="E1" s="2"/>
      <c r="F1" s="2"/>
    </row>
    <row r="2" spans="1:6" ht="16.5" customHeight="1">
      <c r="A2" s="2"/>
      <c r="B2" s="2"/>
      <c r="C2" s="2"/>
      <c r="D2" s="2"/>
      <c r="E2" s="40" t="s">
        <v>754</v>
      </c>
      <c r="F2" s="2"/>
    </row>
    <row r="3" spans="1:6" ht="16.5" customHeight="1">
      <c r="A3" s="2"/>
      <c r="B3" s="2"/>
      <c r="C3" s="2"/>
      <c r="D3" s="2"/>
      <c r="E3" s="40" t="s">
        <v>377</v>
      </c>
      <c r="F3" s="2"/>
    </row>
    <row r="4" spans="1:6" ht="16.5" customHeight="1">
      <c r="A4" s="2"/>
      <c r="B4" s="2"/>
      <c r="C4" s="2"/>
      <c r="D4" s="2"/>
      <c r="E4" s="40" t="s">
        <v>2</v>
      </c>
      <c r="F4" s="2"/>
    </row>
    <row r="5" spans="1:6" ht="16.5" customHeight="1">
      <c r="A5" s="2"/>
      <c r="B5" s="2"/>
      <c r="C5" s="2"/>
      <c r="D5" s="2"/>
      <c r="E5" s="40" t="s">
        <v>3</v>
      </c>
      <c r="F5" s="2"/>
    </row>
    <row r="6" spans="1:6" ht="16.5" customHeight="1">
      <c r="A6" s="2"/>
      <c r="B6" s="2"/>
      <c r="C6" s="2"/>
      <c r="D6" s="2"/>
      <c r="E6" s="40" t="s">
        <v>4</v>
      </c>
      <c r="F6" s="2"/>
    </row>
    <row r="7" spans="1:6" ht="16.5" customHeight="1">
      <c r="A7" s="2"/>
      <c r="B7" s="2"/>
      <c r="C7" s="2"/>
      <c r="D7" s="2"/>
      <c r="E7" s="40" t="s">
        <v>755</v>
      </c>
      <c r="F7" s="2"/>
    </row>
    <row r="8" spans="1:6" ht="16.5" customHeight="1">
      <c r="A8" s="2"/>
      <c r="B8" s="2"/>
      <c r="C8" s="2"/>
      <c r="D8" s="2"/>
      <c r="E8" s="40" t="s">
        <v>254</v>
      </c>
      <c r="F8" s="2"/>
    </row>
    <row r="9" spans="1:6" ht="13.5" customHeight="1">
      <c r="A9" s="2"/>
      <c r="B9" s="2"/>
      <c r="C9" s="2"/>
      <c r="D9" s="2"/>
      <c r="E9" s="2"/>
      <c r="F9" s="2"/>
    </row>
    <row r="10" spans="1:6" ht="13.5" customHeight="1">
      <c r="A10" s="2"/>
      <c r="B10" s="2"/>
      <c r="C10" s="2"/>
      <c r="D10" s="2"/>
      <c r="E10" s="2"/>
      <c r="F10" s="2"/>
    </row>
    <row r="11" spans="1:6" ht="15.75" customHeight="1">
      <c r="A11" s="227" t="s">
        <v>756</v>
      </c>
      <c r="B11" s="228"/>
      <c r="C11" s="228"/>
      <c r="D11" s="228"/>
      <c r="E11" s="228"/>
      <c r="F11" s="228"/>
    </row>
    <row r="12" spans="1:6" ht="16.5" customHeight="1">
      <c r="A12" s="7"/>
      <c r="B12" s="7"/>
      <c r="C12" s="7"/>
      <c r="D12" s="7"/>
      <c r="E12" s="7"/>
      <c r="F12" s="229" t="s">
        <v>256</v>
      </c>
    </row>
    <row r="13" spans="1:6" ht="30" customHeight="1">
      <c r="A13" s="136" t="s">
        <v>757</v>
      </c>
      <c r="B13" s="59" t="s">
        <v>758</v>
      </c>
      <c r="C13" s="59" t="s">
        <v>759</v>
      </c>
      <c r="D13" s="59" t="s">
        <v>10</v>
      </c>
      <c r="E13" s="59" t="s">
        <v>11</v>
      </c>
      <c r="F13" s="59" t="s">
        <v>12</v>
      </c>
    </row>
    <row r="14" spans="1:6" ht="15.75" customHeight="1">
      <c r="A14" s="34"/>
      <c r="B14" s="84" t="s">
        <v>248</v>
      </c>
      <c r="C14" s="62">
        <f>SUM(D14:F14)</f>
        <v>1059279557.66</v>
      </c>
      <c r="D14" s="62">
        <f>SUM(D15:D31)</f>
        <v>412603194.09</v>
      </c>
      <c r="E14" s="62">
        <f>SUM(E15:E31)</f>
        <v>356046863.57</v>
      </c>
      <c r="F14" s="62">
        <f>SUM(F15:F31)</f>
        <v>290629500</v>
      </c>
    </row>
    <row r="15" spans="1:6" ht="86.25" customHeight="1">
      <c r="A15" s="93">
        <v>1</v>
      </c>
      <c r="B15" s="131" t="s">
        <v>760</v>
      </c>
      <c r="C15" s="32">
        <f>D15+E15+F15</f>
        <v>178737168.91</v>
      </c>
      <c r="D15" s="32">
        <f>122430800+3644565+5940638+46721165.91</f>
        <v>178737168.91</v>
      </c>
      <c r="E15" s="32"/>
      <c r="F15" s="32"/>
    </row>
    <row r="16" spans="1:6" ht="62.25" customHeight="1">
      <c r="A16" s="93">
        <v>2</v>
      </c>
      <c r="B16" s="131" t="s">
        <v>761</v>
      </c>
      <c r="C16" s="32">
        <f>D16+E16+F16</f>
        <v>2533087.42</v>
      </c>
      <c r="D16" s="32">
        <f>65654500-46721165.91-16051580-348666.67</f>
        <v>2533087.42</v>
      </c>
      <c r="E16" s="32"/>
      <c r="F16" s="32"/>
    </row>
    <row r="17" spans="1:6" ht="45" customHeight="1">
      <c r="A17" s="93">
        <v>3</v>
      </c>
      <c r="B17" s="131" t="s">
        <v>762</v>
      </c>
      <c r="C17" s="32">
        <f>D17+E17+F17</f>
        <v>425029500</v>
      </c>
      <c r="D17" s="32">
        <f>150000000-24217476.77-18218243-21325752.29-2122700-84115827.94</f>
        <v>3.72529029846191E-09</v>
      </c>
      <c r="E17" s="32">
        <v>150000000</v>
      </c>
      <c r="F17" s="32">
        <v>275029500</v>
      </c>
    </row>
    <row r="18" spans="1:6" ht="45" customHeight="1">
      <c r="A18" s="93">
        <v>4</v>
      </c>
      <c r="B18" s="131" t="s">
        <v>763</v>
      </c>
      <c r="C18" s="32">
        <f>D18+E18+F18</f>
        <v>218352200.46</v>
      </c>
      <c r="D18" s="32">
        <f>135560049.51-1605692.62</f>
        <v>133954356.89</v>
      </c>
      <c r="E18" s="32">
        <v>84397843.57</v>
      </c>
      <c r="F18" s="32"/>
    </row>
    <row r="19" spans="1:6" ht="16.5" customHeight="1">
      <c r="A19" s="93">
        <v>5</v>
      </c>
      <c r="B19" s="131" t="s">
        <v>764</v>
      </c>
      <c r="C19" s="32">
        <f>D19+E19+F19</f>
        <v>25802216.64</v>
      </c>
      <c r="D19" s="32">
        <f>43549572.5-17747355.86</f>
        <v>25802216.64</v>
      </c>
      <c r="E19" s="32"/>
      <c r="F19" s="32"/>
    </row>
    <row r="20" spans="1:6" ht="30" customHeight="1">
      <c r="A20" s="93">
        <v>6</v>
      </c>
      <c r="B20" s="131" t="s">
        <v>765</v>
      </c>
      <c r="C20" s="32">
        <f>D20+E20+F20</f>
        <v>46600000</v>
      </c>
      <c r="D20" s="32">
        <v>15400000</v>
      </c>
      <c r="E20" s="32">
        <v>15600000</v>
      </c>
      <c r="F20" s="32">
        <v>15600000</v>
      </c>
    </row>
    <row r="21" spans="1:6" ht="45" customHeight="1">
      <c r="A21" s="93">
        <v>7</v>
      </c>
      <c r="B21" s="131" t="s">
        <v>766</v>
      </c>
      <c r="C21" s="32">
        <f>SUM(D21:F21)</f>
        <v>32262647.69</v>
      </c>
      <c r="D21" s="32">
        <f>31517090-30809044.16+231958.35-194446.5</f>
        <v>745557.69</v>
      </c>
      <c r="E21" s="32">
        <v>31517090</v>
      </c>
      <c r="F21" s="32">
        <v>0</v>
      </c>
    </row>
    <row r="22" spans="1:6" ht="45" customHeight="1">
      <c r="A22" s="93">
        <v>8</v>
      </c>
      <c r="B22" s="131" t="s">
        <v>767</v>
      </c>
      <c r="C22" s="32">
        <f>SUM(D22:F22)</f>
        <v>22452630</v>
      </c>
      <c r="D22" s="32">
        <f>22452640-22452640</f>
        <v>0</v>
      </c>
      <c r="E22" s="32">
        <v>22452630</v>
      </c>
      <c r="F22" s="32">
        <v>0</v>
      </c>
    </row>
    <row r="23" spans="1:6" ht="45" customHeight="1">
      <c r="A23" s="93">
        <v>9</v>
      </c>
      <c r="B23" s="131" t="s">
        <v>768</v>
      </c>
      <c r="C23" s="32">
        <f>SUM(D23:F23)</f>
        <v>28431252.33</v>
      </c>
      <c r="D23" s="32">
        <f>27459020-26681234.17+194446.5</f>
        <v>972232.329999998</v>
      </c>
      <c r="E23" s="32">
        <v>27459020</v>
      </c>
      <c r="F23" s="32">
        <v>0</v>
      </c>
    </row>
    <row r="24" spans="1:6" ht="45" customHeight="1">
      <c r="A24" s="93">
        <v>10</v>
      </c>
      <c r="B24" s="131" t="s">
        <v>769</v>
      </c>
      <c r="C24" s="32">
        <f>SUM(D24:F24)</f>
        <v>25412066.82</v>
      </c>
      <c r="D24" s="32">
        <f>24620290-23828503.18</f>
        <v>791786.82</v>
      </c>
      <c r="E24" s="32">
        <v>24620280</v>
      </c>
      <c r="F24" s="32">
        <v>0</v>
      </c>
    </row>
    <row r="25" spans="1:6" ht="30" customHeight="1">
      <c r="A25" s="93">
        <v>11</v>
      </c>
      <c r="B25" s="131" t="s">
        <v>770</v>
      </c>
      <c r="C25" s="32">
        <f>SUM(D25:F25)</f>
        <v>26574615.91</v>
      </c>
      <c r="D25" s="32">
        <v>26574615.91</v>
      </c>
      <c r="E25" s="32">
        <v>0</v>
      </c>
      <c r="F25" s="32">
        <v>0</v>
      </c>
    </row>
    <row r="26" spans="1:6" ht="30" customHeight="1">
      <c r="A26" s="93">
        <v>12</v>
      </c>
      <c r="B26" s="131" t="s">
        <v>771</v>
      </c>
      <c r="C26" s="32">
        <f>SUM(D26:F26)</f>
        <v>1236000</v>
      </c>
      <c r="D26" s="32">
        <v>1236000</v>
      </c>
      <c r="E26" s="32">
        <v>0</v>
      </c>
      <c r="F26" s="32">
        <v>0</v>
      </c>
    </row>
    <row r="27" spans="1:6" ht="30" customHeight="1">
      <c r="A27" s="93">
        <v>13</v>
      </c>
      <c r="B27" s="131" t="s">
        <v>772</v>
      </c>
      <c r="C27" s="32">
        <f>SUM(D27:F27)</f>
        <v>6984668.84</v>
      </c>
      <c r="D27" s="32">
        <v>6984668.84</v>
      </c>
      <c r="E27" s="32">
        <v>0</v>
      </c>
      <c r="F27" s="32">
        <v>0</v>
      </c>
    </row>
    <row r="28" spans="1:6" ht="16.5" customHeight="1">
      <c r="A28" s="93">
        <v>14</v>
      </c>
      <c r="B28" s="131" t="s">
        <v>773</v>
      </c>
      <c r="C28" s="32">
        <f>SUM(D28:F28)</f>
        <v>9810436.8</v>
      </c>
      <c r="D28" s="32">
        <v>9810436.8</v>
      </c>
      <c r="E28" s="32">
        <v>0</v>
      </c>
      <c r="F28" s="32">
        <v>0</v>
      </c>
    </row>
    <row r="29" spans="1:6" ht="30" customHeight="1">
      <c r="A29" s="93">
        <v>15</v>
      </c>
      <c r="B29" s="131" t="s">
        <v>774</v>
      </c>
      <c r="C29" s="32">
        <f>SUM(D29:F29)</f>
        <v>1221712.8</v>
      </c>
      <c r="D29" s="32">
        <v>1221712.8</v>
      </c>
      <c r="E29" s="32">
        <v>0</v>
      </c>
      <c r="F29" s="32">
        <v>0</v>
      </c>
    </row>
    <row r="30" spans="1:6" ht="16.5" customHeight="1">
      <c r="A30" s="93">
        <v>16</v>
      </c>
      <c r="B30" s="136" t="s">
        <v>775</v>
      </c>
      <c r="C30" s="32">
        <f>SUM(D30:F30)</f>
        <v>5611353.04</v>
      </c>
      <c r="D30" s="32">
        <v>5611353.04</v>
      </c>
      <c r="E30" s="32">
        <v>0</v>
      </c>
      <c r="F30" s="32">
        <v>0</v>
      </c>
    </row>
    <row r="31" spans="1:6" ht="30" customHeight="1">
      <c r="A31" s="93">
        <v>17</v>
      </c>
      <c r="B31" s="131" t="s">
        <v>776</v>
      </c>
      <c r="C31" s="32">
        <f>SUM(D31:F31)</f>
        <v>2228000</v>
      </c>
      <c r="D31" s="32">
        <v>2228000</v>
      </c>
      <c r="E31" s="32">
        <v>0</v>
      </c>
      <c r="F31" s="32">
        <v>0</v>
      </c>
    </row>
  </sheetData>
  <mergeCells count="1">
    <mergeCell ref="A11:F11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62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