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5340" windowHeight="6120" activeTab="0"/>
  </bookViews>
  <sheets>
    <sheet name="Приложение_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 " sheetId="7" r:id="rId7"/>
    <sheet name="Приложение 8" sheetId="8" r:id="rId8"/>
    <sheet name="Приложение 9" sheetId="9" r:id="rId9"/>
  </sheets>
  <externalReferences>
    <externalReference r:id="rId12"/>
    <externalReference r:id="rId13"/>
  </externalReferences>
  <definedNames>
    <definedName name="_xlnm._FilterDatabase" localSheetId="3" hidden="1">'Приложение 4'!$A$14:$H$357</definedName>
    <definedName name="_xlnm._FilterDatabase" localSheetId="4" hidden="1">'Приложение 5'!$A$15:$I$358</definedName>
    <definedName name="_xlnm.Print_Area" localSheetId="0">'Приложение_1'!$A$1:$E$142</definedName>
  </definedNames>
  <calcPr fullCalcOnLoad="1"/>
</workbook>
</file>

<file path=xl/sharedStrings.xml><?xml version="1.0" encoding="utf-8"?>
<sst xmlns="http://schemas.openxmlformats.org/spreadsheetml/2006/main" count="5852" uniqueCount="786">
  <si>
    <t>701</t>
  </si>
  <si>
    <t xml:space="preserve">Государственная пошлина за выдачу разрешения на установку рекламной конструкции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</si>
  <si>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</si>
  <si>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Прочие доходы от оказания платных услуг (работ) получателями средств бюджетов муниципальных районов (Структурное подразделение  детский сад МКДОУ "Сардаана" с.Беченча  СОШ Беченча)</t>
  </si>
  <si>
    <t>Прочие доходы от оказания платных услуг (работ) получателями средств бюджетов муниципальных районов (Структурное подразделение "Детский сад "Туллукчаан" МКОУ СОШ с.Натора)</t>
  </si>
  <si>
    <t>Прочие доходы от оказания платных услуг (работ) получателями средств бюджетов муниципальных районов  (структурное подразделение детский сад "Сардаана" МКОУ СОШ с.Чамча)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</si>
  <si>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"Кэнчээри" МКОУ "Орто-Нахаринская СОШ")</t>
  </si>
  <si>
    <t>Прочие доходы от оказания платных услуг (работ) получателями средств бюджетов муниципальных районов (МКО ДО «ДШИ г. Ленска»)</t>
  </si>
  <si>
    <t>Прочие доходы от оказания платных услуг (работ) получателями средств бюджетов муниципальных районов СП "детский сад "Василёк" МКОУ  СОШ с.Нюя"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</si>
  <si>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</si>
  <si>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</si>
  <si>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</si>
  <si>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Прочие неналоговые доходы бюджетов муниципальных районов</t>
  </si>
  <si>
    <t xml:space="preserve"> Субвенции бюджетам муниципальных районов на выполнение передаваемых полномочий по выравниванию бюджетной обеспеченности поселений</t>
  </si>
  <si>
    <t>Выполнение отдельных государственных полномочий по государственному регулированию цен (тарифов)</t>
  </si>
  <si>
    <t>Прочие безвозмездные поступления в бюджеты муниципальных районов</t>
  </si>
  <si>
    <t>Приложение № 3</t>
  </si>
  <si>
    <t>к проекту решенияРайонного</t>
  </si>
  <si>
    <t>Совета депутатов</t>
  </si>
  <si>
    <t>муниципального образования</t>
  </si>
  <si>
    <t>"Ленский район"</t>
  </si>
  <si>
    <t>КБК</t>
  </si>
  <si>
    <t>Наименование</t>
  </si>
  <si>
    <t>Сумма на 2022 год</t>
  </si>
  <si>
    <t>Сумма на 2023 год</t>
  </si>
  <si>
    <t>182 1 01 02000 01 0000 110</t>
  </si>
  <si>
    <t>Налог на доходы физических лиц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</si>
  <si>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</si>
  <si>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</si>
  <si>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</si>
  <si>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</si>
  <si>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</si>
  <si>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</si>
  <si>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</si>
  <si>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</si>
  <si>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000 1 03 00000 00 0000 000</t>
  </si>
  <si>
    <t>НАЛОГИ НА ТОВАРЫ (РАБОТЫ, УСЛУГИ), РЕАЛИЗУЕМЫЕ НА ТЕРРИТОРИИ РОССИЙСКОЙ ФЕДЕРАЦИИ</t>
  </si>
  <si>
    <t xml:space="preserve">100 1 03 02231 01 0000 110
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</si>
  <si>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</si>
  <si>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100 1 03 02241 01 0000 110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</si>
  <si>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</si>
  <si>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100 1 03 02251 01 0000 110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</si>
  <si>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</si>
  <si>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100 1 03 02261 01 0000 110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</si>
  <si>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</si>
  <si>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</si>
  <si>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</si>
  <si>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</si>
  <si>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</si>
  <si>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182 1 05 01011 01 0000 110</t>
  </si>
  <si>
    <t xml:space="preserve">Налог, взимаемый с налогоплательщиков, выбравших в качестве объекта налогообложения доходы
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</si>
  <si>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</si>
  <si>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</si>
  <si>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182 1 05 03010 01 0000 110</t>
  </si>
  <si>
    <t xml:space="preserve">Единый сельскохозяйственный налог
</t>
  </si>
  <si>
    <t xml:space="preserve">182 1 05 04020 02 0000 110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</si>
  <si>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</si>
  <si>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182 1 06 00000 00 0000 000</t>
  </si>
  <si>
    <t>НАЛОГИ НА ИМУЩЕСТВО</t>
  </si>
  <si>
    <t>000 1 06 06033 05 0000 110</t>
  </si>
  <si>
    <t xml:space="preserve">Земельный налог с организаций, обладающих земельным участком, расположенным в границах межселенных территорий
</t>
  </si>
  <si>
    <t>000 1 06 06043 05 0000 110</t>
  </si>
  <si>
    <t xml:space="preserve">Земельный налог с физических лиц, обладающих земельным участком, расположенным в границах межселенных территорий
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</si>
  <si>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</si>
  <si>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</si>
  <si>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</si>
  <si>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 xml:space="preserve">Налог на добычу общераспространенных полезных ископаемых
</t>
  </si>
  <si>
    <t>000 1 08 0000000 0000 000</t>
  </si>
  <si>
    <t>ГОСУДАРСТВЕННАЯ ПОШЛИНА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</si>
  <si>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</si>
  <si>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</si>
  <si>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000 1 08 07150 01 0000 110</t>
  </si>
  <si>
    <t>000 1 11 0000000 0000 000</t>
  </si>
  <si>
    <t xml:space="preserve">ДОХОДЫ ОТ ИСПОЛЬЗОВАНИЯ ИМУЩЕСТВА, НАХОДЯЩЕГОСЯ В ГОСУДАРСТВЕННОЙ И МУНИЦИПАЛЬНОЙ СОБСТВЕННОСТИ
</t>
  </si>
  <si>
    <t>701 1 11 01050 05 0000 120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</si>
  <si>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</si>
  <si>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</si>
  <si>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</si>
  <si>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701 1 11 05013 05 0000 120</t>
  </si>
  <si>
    <t>000 1 11 05013 13 0000 120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</si>
  <si>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</si>
  <si>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701 1 11 05025 05 0000 120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</si>
  <si>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</si>
  <si>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701 1 11 05035 05 0000 120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</si>
  <si>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</si>
  <si>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701 1 11 05075 05 0000 120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</si>
  <si>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</si>
  <si>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000 112 0000000 0000 000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</si>
  <si>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</si>
  <si>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
</t>
  </si>
  <si>
    <t xml:space="preserve">Плата за сбросы загрязняющих веществ в водные объекты
</t>
  </si>
  <si>
    <t xml:space="preserve">Плата за размещение отходов производства и потребления
</t>
  </si>
  <si>
    <t>000 113 00000 00 0000 000</t>
  </si>
  <si>
    <t>701 1 13 01000 00 0000 130</t>
  </si>
  <si>
    <t xml:space="preserve">Доходы от оказания платных услуг (работ)
</t>
  </si>
  <si>
    <t>701 1 13 01995 05 0014 130</t>
  </si>
  <si>
    <t>Прочие доходы от оказания платных услуг (работ) получателями средств бюджетов муниципальных районов (Структурное подразделение детский сад "Ёлочка" СОШ с.Толон)</t>
  </si>
  <si>
    <t>701 1 13 01995 05 0016 130</t>
  </si>
  <si>
    <t>Прочие доходы от оказания платных услуг (работ) получателями средств бюджетов муниципальных районов  (Дошкольная группа ООШ ООШ с.Дорожный)</t>
  </si>
  <si>
    <t>701 1 13 01995 05 0017 130</t>
  </si>
  <si>
    <t>Прочие доходы от оказания платных услуг (работ) получателями средств бюджетов муниципальных районов (МКДОУ "Золотой ключик")</t>
  </si>
  <si>
    <t>701 1 13 01995 05 0021 130</t>
  </si>
  <si>
    <t>Прочие доходы от оказания платных услуг (работ) получателями средств бюджетов муниципальных районов  (Дошкольная группа МКОУ СОШ с.Турукта)</t>
  </si>
  <si>
    <t>701 1 13 01995 05 0022 130</t>
  </si>
  <si>
    <t>Прочие доходы от оказания платных услуг (работ) получателями средств бюджетов муниципальных районов  (ДС на базе филиала НШ с.Батамай МКОУ ООШ с.Мурья)</t>
  </si>
  <si>
    <t>701 1 13 01995 05 0034 130</t>
  </si>
  <si>
    <t>Прочие доходы от оказания платных услуг (работ) получателями средств бюджетов муниципальных районов( МКДОУ "Белочка")</t>
  </si>
  <si>
    <t>701 1 13 01995 05 0035 130</t>
  </si>
  <si>
    <t>701 1 13 01995 05 0036 130</t>
  </si>
  <si>
    <t>701 1 13 01995 05 0037 130</t>
  </si>
  <si>
    <t>701 1 13 01995 05 0039 130</t>
  </si>
  <si>
    <t>701 1 13 01995 05 0040 130</t>
  </si>
  <si>
    <t>Прочие доходы от оказания платных услуг (работ) получателями средств бюджетов муниципальных районов ( МКДОУ "Звездочка")</t>
  </si>
  <si>
    <t>701 1 13 01995 05 0042 130</t>
  </si>
  <si>
    <t>Прочие доходы от оказания платных услуг (работ) получателями средств бюджетов муниципальных районов (МКДОУ ЦРР "Сказка")</t>
  </si>
  <si>
    <t>701 1 13 01995 05 0051 130</t>
  </si>
  <si>
    <t>Прочие доходы от оказания платных услуг (работ) получателями средств бюджетов муниципальных районов (МКДОУ "Искорка")</t>
  </si>
  <si>
    <t>701 1 13 01995 05 0012 130</t>
  </si>
  <si>
    <t>701 1 13 01995 05 0053 130</t>
  </si>
  <si>
    <t>Прочие доходы от оказания платных услуг (работ) получателями средств бюджетов муниципальных районов (МКДОУ детский сад "Теремок" г.Ленск "ЛР")</t>
  </si>
  <si>
    <t>701 1 13 01995 05 0055 130</t>
  </si>
  <si>
    <t>Прочие доходы от оказания платных услуг (работ) получателями средств бюджетов муниципальных районов ( МКДОУ детский сад "Чебурашка")</t>
  </si>
  <si>
    <t>701 1 13 01995 05 0056 130</t>
  </si>
  <si>
    <t>Прочие доходы от оказания платных услуг (работ) получателями средств бюджетов муниципальных районов (МКДОУ ЦРР-д/с "Колокольчик" п.Витим )</t>
  </si>
  <si>
    <t>701 1 13 01995 05 0057 130</t>
  </si>
  <si>
    <t>Прочие доходы от оказания платных услуг (работ) получателями средств бюджетов муниципальных районов (МКДОУ Детский сад "Светлячок" п.Пеледуй)</t>
  </si>
  <si>
    <t>701 1 13 01995 05 0058 130</t>
  </si>
  <si>
    <t>701 1 13 01995 05 0059 130</t>
  </si>
  <si>
    <t>Прочие доходы от оказания платных услуг (работ) получателями средств бюджетов муниципальных районов (МКДОУ  Детский сад "Солнышко")</t>
  </si>
  <si>
    <t>701 1 13 01995 05 0060 130</t>
  </si>
  <si>
    <t>Прочие доходы от оказания платных услуг (работ) получателями средств бюджетов муниципальных районов (МКДОУ  "ЦРР-д/с "Сардаана")</t>
  </si>
  <si>
    <t xml:space="preserve">ДОХОДЫ ОТ ПРОДАЖИ МАТЕРИАЛЬНЫХ И НЕМАТЕРИАЛЬНЫХ АКТИВОВ
</t>
  </si>
  <si>
    <t>701 1 14 02000 05 0000 410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</si>
  <si>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</si>
  <si>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</si>
  <si>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000 1 17 00000 00 0000 000</t>
  </si>
  <si>
    <t>ПРОЧИЕ НЕНАЛОГОВЫЕ ДОХОДЫ</t>
  </si>
  <si>
    <t>701 1 17 05050 05 0000 180</t>
  </si>
  <si>
    <t>итого собственных доходов:</t>
  </si>
  <si>
    <t>701 2 00 00000 00 0000 000</t>
  </si>
  <si>
    <t>БЕЗВОЗМЕЗДНЫЕ ПОСТУПЛЕНИЯ</t>
  </si>
  <si>
    <t>701 2 02 00000 00 0000 000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</si>
  <si>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</si>
  <si>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образований, в т.ч.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</si>
  <si>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</si>
  <si>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</si>
  <si>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Субсидия на  организацию отдыха детей в каникулярное время </t>
  </si>
  <si>
    <t>701 2 02 02999 05 6233 151</t>
  </si>
  <si>
    <t>Создание и развитие инфраструктцры поддержки субьектов малого предпринимательства бизнес-инкубатор</t>
  </si>
  <si>
    <t>701 2 02 29999 05 6235 151</t>
  </si>
  <si>
    <t>Субсидия на эксплуатацию и содержание сооружений инженерной защиты</t>
  </si>
  <si>
    <t>701 2 02 02999 05 6242 151</t>
  </si>
  <si>
    <t>Содействие во внедрении материалов, оборудования, технологий имеющих высокую энергетическую эффективность</t>
  </si>
  <si>
    <t>701 2 02 30000 00 0000 150</t>
  </si>
  <si>
    <t>Субвенции бюджетам субъектов Российской Федерации и муниципальных образований, в т.ч.</t>
  </si>
  <si>
    <t>Субвенция на 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</si>
  <si>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701 2 02 30024 05 6327 150</t>
  </si>
  <si>
    <t>701 2 02 40000 00 0000 150</t>
  </si>
  <si>
    <t>Иные межбюджетные трансферты</t>
  </si>
  <si>
    <t>701 2 02 40014 05 0000 150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</si>
  <si>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</si>
  <si>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</si>
  <si>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</si>
  <si>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701 2 19 05000 05 0000 151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</si>
  <si>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</si>
  <si>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ВСЕГО:</t>
  </si>
  <si>
    <t>налоговые</t>
  </si>
  <si>
    <t>неналоговые</t>
  </si>
  <si>
    <t>собственные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</si>
  <si>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</si>
  <si>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</si>
  <si>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твердых коммунальных отходов</t>
  </si>
  <si>
    <t>Прочие доходы от оказания платных услуг (работ) получателями средств бюджетов муниципальных районов  (ДОБ "АЛМАЗ")</t>
  </si>
  <si>
    <t>Прогнозируемые доходы  бюджета муниципального образования "Ленский район" по группам, подгруппам, статьям, подстатьям и элементам видов доходов, группам и аналитическим группам подвидов доходов на 2022 год и на плановый период 2023 и 2024 годов</t>
  </si>
  <si>
    <t>Сумма на 2024 год</t>
  </si>
  <si>
    <t>701 1 13 01995 05 0018 130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</si>
  <si>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</si>
  <si>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</si>
  <si>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182 1 05 01050 01 0000 110</t>
  </si>
  <si>
    <t>Минимальный налог, зачисляемый в бюджеты субъектов Российской Федерации</t>
  </si>
  <si>
    <t>048 1 12 01010 01 6000 120</t>
  </si>
  <si>
    <t>048 1 12 01030 01 6000 120</t>
  </si>
  <si>
    <t>048 1 12 01041 01 6000 120</t>
  </si>
  <si>
    <t>048 1 12 01042 01 6000 120</t>
  </si>
  <si>
    <t>048 1 12 01070 01 6000 120</t>
  </si>
  <si>
    <t>701 114 02053 05 0000 410</t>
  </si>
  <si>
    <t>(в руб.)</t>
  </si>
  <si>
    <t>ЦСР</t>
  </si>
  <si>
    <t>ВР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</si>
  <si>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</si>
  <si>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</si>
  <si>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</si>
  <si>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</si>
  <si>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</si>
  <si>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</si>
  <si>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</si>
  <si>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</si>
  <si>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</si>
  <si>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</si>
  <si>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</si>
  <si>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</si>
  <si>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</si>
  <si>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</si>
  <si>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</si>
  <si>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</si>
  <si>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</si>
  <si>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</si>
  <si>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</si>
  <si>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</si>
  <si>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</si>
  <si>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</si>
  <si>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</si>
  <si>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</si>
  <si>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</si>
  <si>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</si>
  <si>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</si>
  <si>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</si>
  <si>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Развитие музейного дела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</si>
  <si>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</si>
  <si>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</si>
  <si>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</si>
  <si>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</si>
  <si>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</si>
  <si>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 xml:space="preserve">Развитие  предпринимательства 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</si>
  <si>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</si>
  <si>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</si>
  <si>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</si>
  <si>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</si>
  <si>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</si>
  <si>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</si>
  <si>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Развитие растениеводства</t>
  </si>
  <si>
    <t>800</t>
  </si>
  <si>
    <t>Развитие пищевой и перерабатывающей промышленности</t>
  </si>
  <si>
    <t>Развитие транспортного комплекса муниципального образования  «Ленский район»</t>
  </si>
  <si>
    <t>1800000000</t>
  </si>
  <si>
    <t>Воздушный транспорт</t>
  </si>
  <si>
    <t>1830000000</t>
  </si>
  <si>
    <t>Водный транспорт</t>
  </si>
  <si>
    <t>1840000000</t>
  </si>
  <si>
    <t>Дорожное хозяйство</t>
  </si>
  <si>
    <t>1850000000</t>
  </si>
  <si>
    <t>Реализация молодежной  политики и патриотического воспитания граждан в Ленском районе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</si>
  <si>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</si>
  <si>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</si>
  <si>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</si>
  <si>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</si>
  <si>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</si>
  <si>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</si>
  <si>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</si>
  <si>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</si>
  <si>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</si>
  <si>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</si>
  <si>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</si>
  <si>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</si>
  <si>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</si>
  <si>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</si>
  <si>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</si>
  <si>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</si>
  <si>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</si>
  <si>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</si>
  <si>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</si>
  <si>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</si>
  <si>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</si>
  <si>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</si>
  <si>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</si>
  <si>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</si>
  <si>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</si>
  <si>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</si>
  <si>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</si>
  <si>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</si>
  <si>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</si>
  <si>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</si>
  <si>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</si>
  <si>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</si>
  <si>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</si>
  <si>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</si>
  <si>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</si>
  <si>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</si>
  <si>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</si>
  <si>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</si>
  <si>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</si>
  <si>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</si>
  <si>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</si>
  <si>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</si>
  <si>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</si>
  <si>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</si>
  <si>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</si>
  <si>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</si>
  <si>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</si>
  <si>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</si>
  <si>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</si>
  <si>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</si>
  <si>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</si>
  <si>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</si>
  <si>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</si>
  <si>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Приложение № 6</t>
  </si>
  <si>
    <r>
      <t xml:space="preserve">Распределение
бюджетных ассигнований по целевым статьям муниципальных программ и группам видов расходов бюджета муниципального образования "Ленский район" на 2022 год и плановый период  2023 и  2024 годов
</t>
    </r>
    <r>
      <rPr>
        <sz val="12"/>
        <rFont val="Arial"/>
        <family val="2"/>
      </rPr>
      <t xml:space="preserve">(без федеральных и республиканских средств)
</t>
    </r>
  </si>
  <si>
    <t>1030100000</t>
  </si>
  <si>
    <t>1030200000</t>
  </si>
  <si>
    <t>25К0000000</t>
  </si>
  <si>
    <t>Рост производства продукции отраслей агропромышленного комплекса</t>
  </si>
  <si>
    <t>Поддержка скотоводства</t>
  </si>
  <si>
    <t>Софинансирование реализации мероприятий муниципальных программ (подпрограмм) развития кормопроизводства (за счет средств МБ)</t>
  </si>
  <si>
    <t>к проекту решения Районного</t>
  </si>
  <si>
    <t>Рз</t>
  </si>
  <si>
    <t>Пр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</si>
  <si>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</si>
  <si>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</si>
  <si>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</si>
  <si>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</si>
  <si>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</si>
  <si>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</si>
  <si>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9900000000</t>
  </si>
  <si>
    <t>Руководство и управление в сфере установленных функций органов местного самоуправления</t>
  </si>
  <si>
    <t>9910000000</t>
  </si>
  <si>
    <t>Глава муниципального образования</t>
  </si>
  <si>
    <t>9910011600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</si>
  <si>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</si>
  <si>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</si>
  <si>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представительного органа муниципального образования</t>
  </si>
  <si>
    <t>9910011720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</si>
  <si>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</si>
  <si>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</si>
  <si>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содержание органов местного самоуправления</t>
  </si>
  <si>
    <t>9910011410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</si>
  <si>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</si>
  <si>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</si>
  <si>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</si>
  <si>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9910011740</t>
  </si>
  <si>
    <t>Резервные фонды</t>
  </si>
  <si>
    <t>11</t>
  </si>
  <si>
    <t>Прочие непрограммные расходы</t>
  </si>
  <si>
    <t>9950000000</t>
  </si>
  <si>
    <t>Резервный фонд местной администрации</t>
  </si>
  <si>
    <t>9950071100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</si>
  <si>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</si>
  <si>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</si>
  <si>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</si>
  <si>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600</t>
  </si>
  <si>
    <t>Расходы на исполнение судебных решений о взыскании из бюджета по искам юридических и физических лиц</t>
  </si>
  <si>
    <t>9950091017</t>
  </si>
  <si>
    <t>Выполнение других обязательств муниципальных образований</t>
  </si>
  <si>
    <t>9950091019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</si>
  <si>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</si>
  <si>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</si>
  <si>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</si>
  <si>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</si>
  <si>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</si>
  <si>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</si>
  <si>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</si>
  <si>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</si>
  <si>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</si>
  <si>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9910022001</t>
  </si>
  <si>
    <t>Связь и информатика</t>
  </si>
  <si>
    <t>ЖИЛИЩНО-КОММУНАЛЬНОЕ ХОЗЯЙСТВО</t>
  </si>
  <si>
    <t>Жилищное хозяйство</t>
  </si>
  <si>
    <t>Расходы в области жилищно-коммунального хозяйства</t>
  </si>
  <si>
    <t>9950091009</t>
  </si>
  <si>
    <t>Благоустройство</t>
  </si>
  <si>
    <t>Расходы по благоустройству</t>
  </si>
  <si>
    <t>9950091011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</si>
  <si>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</si>
  <si>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</si>
  <si>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</si>
  <si>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</si>
  <si>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</si>
  <si>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</si>
  <si>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</si>
  <si>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</si>
  <si>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</si>
  <si>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</si>
  <si>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</si>
  <si>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</si>
  <si>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</si>
  <si>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</si>
  <si>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</si>
  <si>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Расходы в области социального обеспечения населения</t>
  </si>
  <si>
    <t>9950091012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</si>
  <si>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</si>
  <si>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</si>
  <si>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</si>
  <si>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</si>
  <si>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Расходы в области спорта и физической культуры</t>
  </si>
  <si>
    <t>9950091014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</si>
  <si>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</si>
  <si>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</si>
  <si>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</si>
  <si>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</t>
  </si>
  <si>
    <t>9960000000</t>
  </si>
  <si>
    <t>Субсидии, передаваемые в государственный бюджет  (отрицательный трансферт)</t>
  </si>
  <si>
    <t>9960088300</t>
  </si>
  <si>
    <t>500</t>
  </si>
  <si>
    <t>Иные  межбюджетные трансферты за счет местного бюджета</t>
  </si>
  <si>
    <r>
      <t xml:space="preserve">Распределение
бюджетных ассигнований  по разделам, подразделам, целевым статьям  непрограммных направлений деятельности, группам видов расходов 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</rPr>
      <t>(без федеральных и республиканских средств)</t>
    </r>
  </si>
  <si>
    <t>Приложение № 7</t>
  </si>
  <si>
    <t>9950091013</t>
  </si>
  <si>
    <t>Расходы в области культурно-досуговой деятельности</t>
  </si>
  <si>
    <t>Проведение выборов и референдумов глав</t>
  </si>
  <si>
    <t>9930000000</t>
  </si>
  <si>
    <t>Проведение выборов и референдумов</t>
  </si>
  <si>
    <t>Обеспечение проведения выборов и референдумов</t>
  </si>
  <si>
    <t>Резервные фонды местных администраций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</si>
  <si>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</si>
  <si>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</si>
  <si>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</si>
  <si>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12</t>
  </si>
  <si>
    <t>Развитие предпринимательства</t>
  </si>
  <si>
    <t>ОХРАНА ОКРУЖАЮЩЕЙ СРЕДЫ</t>
  </si>
  <si>
    <t>Охрана объектов растительного и животного мира и среды их обитания</t>
  </si>
  <si>
    <t>Охрана окружающей среды  и природных ресурсов в  Ленском  районе</t>
  </si>
  <si>
    <t>Особо охраняемые природные территории и биологические ресурсы</t>
  </si>
  <si>
    <t>Молодежная политика и оздоровление детей</t>
  </si>
  <si>
    <t>Реализация молодежной политики и патриотического воспитания граждан в Ленском районе</t>
  </si>
  <si>
    <t>Мотивирование населения на ведение трезвого здорового образа жизни.</t>
  </si>
  <si>
    <t xml:space="preserve">Развитие образования в Ленском районе  </t>
  </si>
  <si>
    <t>Обеспечивающая программа</t>
  </si>
  <si>
    <t>Сохранение культурного и исторического наследия, расширение доступа населения к культурным ценностям и информаци</t>
  </si>
  <si>
    <t>3400000000</t>
  </si>
  <si>
    <t>3440000000</t>
  </si>
  <si>
    <t>Другие вопросы в области культуры, кинематографии</t>
  </si>
  <si>
    <t>3200000000</t>
  </si>
  <si>
    <t>3210000000</t>
  </si>
  <si>
    <t>Реализация молодежной, семейной политики и патриотического воспитания граждан в Ленском районе</t>
  </si>
  <si>
    <t xml:space="preserve">Профилактика правонарушений в Ленском районе </t>
  </si>
  <si>
    <t>Массовый спорт</t>
  </si>
  <si>
    <t>Администрация муниципального образования "Ленский район" Республики Саха (Якутия)</t>
  </si>
  <si>
    <t>Приложение № 8</t>
  </si>
  <si>
    <r>
      <t xml:space="preserve">Распределение бюджетных ассигнований по разделам, подразделам, целевым статьям, группам видов расходов классификации расходов бюджета муниципального образования "Ленский район" на 2022 год и плановый период 2023 и 2024 годов
</t>
    </r>
    <r>
      <rPr>
        <sz val="12"/>
        <rFont val="Arial"/>
        <family val="2"/>
      </rPr>
      <t>(без федеральных и республиканских средств)</t>
    </r>
    <r>
      <rPr>
        <b/>
        <sz val="12"/>
        <rFont val="Arial"/>
        <family val="2"/>
      </rPr>
      <t xml:space="preserve">
</t>
    </r>
  </si>
  <si>
    <t>Вед.</t>
  </si>
  <si>
    <t xml:space="preserve">Ведомственная структура расходов  бюджета муниципального образования "Ленский район" на 2022 год и плановый период на 2023 и 2024 годов 
(без федеральных и республиканских средств)
</t>
  </si>
  <si>
    <t>(руб.)</t>
  </si>
  <si>
    <t>Вед</t>
  </si>
  <si>
    <t>ПР</t>
  </si>
  <si>
    <t>ЦС</t>
  </si>
  <si>
    <t>Источники финансирования (РБ, ПБ)*</t>
  </si>
  <si>
    <t>ВСЕГО РАСХОДОВ</t>
  </si>
  <si>
    <t xml:space="preserve">Руководство и управление в сфере установленных функций органов местного самоуправления </t>
  </si>
  <si>
    <t>ПБ</t>
  </si>
  <si>
    <t>Закупка товаров, работ и услуг для государственных (муниципальных) нужд</t>
  </si>
  <si>
    <t>Судебная система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</si>
  <si>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</si>
  <si>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9950051200</t>
  </si>
  <si>
    <t>9950063300</t>
  </si>
  <si>
    <t>9950063320</t>
  </si>
  <si>
    <t>2510063250</t>
  </si>
  <si>
    <t>9960063360</t>
  </si>
  <si>
    <t>1270000000</t>
  </si>
  <si>
    <t>1270063380</t>
  </si>
  <si>
    <t>1260062010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</si>
  <si>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</si>
  <si>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</si>
  <si>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</si>
  <si>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по опеке и попечительству в отношении несовершеннолетних</t>
  </si>
  <si>
    <t>9950063310</t>
  </si>
  <si>
    <t>Дотация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</si>
  <si>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(за счет средств ГБ)</t>
  </si>
  <si>
    <t>9960061010</t>
  </si>
  <si>
    <t>РБ</t>
  </si>
  <si>
    <t>* РБ - средства, поступившие из Государственного бюджета РС (Я) , ПБ- средства, поступившие из бюджетов поселений Ленского района</t>
  </si>
  <si>
    <t>Распределение бюджетных ассигнований за счет средств, получаемых из других бюджетов бюджетной системы Российской Федерации муниципальным образованием "Ленский район" на 2022 год и плановый период 2023и 2024 годов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</si>
  <si>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</si>
  <si>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9950063260</t>
  </si>
  <si>
    <t>Выполнение отдельных государственных полномочий по созданию административных комиссий</t>
  </si>
  <si>
    <t>Выполнение отдельных государственных полномочий по комплектованию, хранению, учету и использованию документов Архивного фонда РС (Я) и других архивных документов, относящихся к государственной собственности РС (Я)</t>
  </si>
  <si>
    <t>9950063330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</si>
  <si>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</si>
  <si>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</si>
  <si>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</si>
  <si>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</si>
  <si>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25К0063450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</si>
  <si>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</si>
  <si>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25К0063460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</si>
  <si>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</si>
  <si>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25К0063470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</si>
  <si>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</si>
  <si>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1220122001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</si>
  <si>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организациях.</t>
  </si>
  <si>
    <t>1220163350</t>
  </si>
  <si>
    <t>Педагог открытой школы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</si>
  <si>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</si>
  <si>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</si>
  <si>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1220053030</t>
  </si>
  <si>
    <t>1220222001</t>
  </si>
  <si>
    <t>1220263020</t>
  </si>
  <si>
    <t>1220263030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</si>
  <si>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среднегообщего образования, в том числе адаптированные основные общеобразовательные программы</t>
  </si>
  <si>
    <t>1220263480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</si>
  <si>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</si>
  <si>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</si>
  <si>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</si>
  <si>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1290000000</t>
  </si>
  <si>
    <t>1240022001</t>
  </si>
  <si>
    <t>Организация отдыха детей в каникулярное время (за счет средств ГБ)</t>
  </si>
  <si>
    <t>Восстановление и укрепление материально-технической базы для организаций отдыха и оздоровления детей (за счет средств ГБ)</t>
  </si>
  <si>
    <t>1260062370</t>
  </si>
  <si>
    <t>1210022001</t>
  </si>
  <si>
    <t>1030122001</t>
  </si>
  <si>
    <t>1030222001</t>
  </si>
  <si>
    <t>Создание модельных муниципальных библиотек (за счет средств ГБ)</t>
  </si>
  <si>
    <t>1030162670</t>
  </si>
  <si>
    <t>Руководство и управление в сфере установленных функций</t>
  </si>
  <si>
    <t>1010011600</t>
  </si>
  <si>
    <t>Выплата компенсации в части родительской платы  за содержание ребенка в образовательных организациях, реализующих основную общеобразовательную программу дошкольного образования</t>
  </si>
  <si>
    <t>1220163050</t>
  </si>
  <si>
    <t>Реализация мероприятий по обеспечению жильем молодых семей</t>
  </si>
  <si>
    <t>20300L4970</t>
  </si>
  <si>
    <t>Выплата единовременного пособия при всех формах устройства детей, лишенных родительского попечения, в семью</t>
  </si>
  <si>
    <t>9950052600</t>
  </si>
  <si>
    <t>9950063370</t>
  </si>
  <si>
    <t>9950063410</t>
  </si>
  <si>
    <t>9950063420</t>
  </si>
  <si>
    <t>9950063440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</si>
  <si>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</si>
  <si>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9950063450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</si>
  <si>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</si>
  <si>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9950063460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</si>
  <si>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</si>
  <si>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99500R0820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</si>
  <si>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</si>
  <si>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9950063010</t>
  </si>
  <si>
    <t>9950063110</t>
  </si>
  <si>
    <t>Выполнение  отдельных государственных полномочий в области охраны труда</t>
  </si>
  <si>
    <t>9950063290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</si>
  <si>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</si>
  <si>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1410022001</t>
  </si>
  <si>
    <t>в рублях</t>
  </si>
  <si>
    <t>№</t>
  </si>
  <si>
    <t>Наименование, наименование поселения</t>
  </si>
  <si>
    <t>Дотация на выравнивание уровня бюджетной обеспеченности, в том числе:</t>
  </si>
  <si>
    <t>1.1.</t>
  </si>
  <si>
    <t>МО "Город Ленск"</t>
  </si>
  <si>
    <t>1.2.</t>
  </si>
  <si>
    <t>МО "Поселок Витим"</t>
  </si>
  <si>
    <t>1.3.</t>
  </si>
  <si>
    <t>МО "Поселок Пеледуй"</t>
  </si>
  <si>
    <t>1.4.</t>
  </si>
  <si>
    <t>МО "Беченчинский наслег"</t>
  </si>
  <si>
    <t>1.5.</t>
  </si>
  <si>
    <t>МО "Мурбайский наслег"</t>
  </si>
  <si>
    <t>1.6.</t>
  </si>
  <si>
    <t>МО "Наторинский наслег"</t>
  </si>
  <si>
    <t>1.7.</t>
  </si>
  <si>
    <t>МО "Нюйский наслег"</t>
  </si>
  <si>
    <t>1.8.</t>
  </si>
  <si>
    <t>МО "Орто-Нахаринский наслег"</t>
  </si>
  <si>
    <t>1.9.</t>
  </si>
  <si>
    <t>МО "Салдыкельский наслег"</t>
  </si>
  <si>
    <t>1.10.</t>
  </si>
  <si>
    <t>МО "Толонский наслег"</t>
  </si>
  <si>
    <t>1.11.</t>
  </si>
  <si>
    <t>МО "Ярославский наслег"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</si>
  <si>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</si>
  <si>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</si>
  <si>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</si>
  <si>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</si>
  <si>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</si>
  <si>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</si>
  <si>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</si>
  <si>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</si>
  <si>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</si>
  <si>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</si>
  <si>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</si>
  <si>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4.1.</t>
  </si>
  <si>
    <t>4.2.</t>
  </si>
  <si>
    <t>4.</t>
  </si>
  <si>
    <t>Субвенция на 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</si>
  <si>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6.2.</t>
  </si>
  <si>
    <t>6.3.</t>
  </si>
  <si>
    <t>6.4.</t>
  </si>
  <si>
    <t>6.5.</t>
  </si>
  <si>
    <t>6.6.</t>
  </si>
  <si>
    <t>5.</t>
  </si>
  <si>
    <t>Межбюджетные трансферты общего характера бюджетам субъектов Российской Федерации и муниципальным образованиям</t>
  </si>
  <si>
    <t>Государственный бюджет Республики Саха (Якутия)</t>
  </si>
  <si>
    <t xml:space="preserve">Объем межбюджетных трансфертов предоставляемых другим бюджетам бюджетной системы Российской Федерации из бюджета муниципального образования "Ленский район" на 2022 год и плановый период 2023 и 2024 годов </t>
  </si>
  <si>
    <t>Муниципальные ценные бумаги</t>
  </si>
  <si>
    <t>Прочие источники внутреннего финансирования дефицита</t>
  </si>
  <si>
    <t>погашение задолженности</t>
  </si>
  <si>
    <t>Наименование показателя</t>
  </si>
  <si>
    <t>Источники финансирования дефицита бюджета, всего</t>
  </si>
  <si>
    <t> 1</t>
  </si>
  <si>
    <t xml:space="preserve"> </t>
  </si>
  <si>
    <t> 1.1</t>
  </si>
  <si>
    <t>привлечение основного долга</t>
  </si>
  <si>
    <t> 1.2</t>
  </si>
  <si>
    <t>погашение основного долга</t>
  </si>
  <si>
    <t> 2</t>
  </si>
  <si>
    <t>Бюджетные кредиты, полученные от других бюджетов</t>
  </si>
  <si>
    <t> 2.1</t>
  </si>
  <si>
    <t> 2.2</t>
  </si>
  <si>
    <t> 3.</t>
  </si>
  <si>
    <t>Кредиты, полученные от кредитных организаций</t>
  </si>
  <si>
    <t> 3.1</t>
  </si>
  <si>
    <t> 3.2</t>
  </si>
  <si>
    <t>Изменение остатков средств на счетах по учету средств бюджетов</t>
  </si>
  <si>
    <t>4.1</t>
  </si>
  <si>
    <t>увеличение остатков средств бюджета</t>
  </si>
  <si>
    <t>4.2</t>
  </si>
  <si>
    <t>уменьшение остатков средств бюджета</t>
  </si>
  <si>
    <t>Иные источники внутреннего финансирования дефицита, в том числе:</t>
  </si>
  <si>
    <t> 5.1</t>
  </si>
  <si>
    <t>Акции и иные формы участия в капитале в муниципальной собственности</t>
  </si>
  <si>
    <t> 5.1.1</t>
  </si>
  <si>
    <t>поступления от продажи акций</t>
  </si>
  <si>
    <t> 5.1.2</t>
  </si>
  <si>
    <t>приобретение акций</t>
  </si>
  <si>
    <t> 5.2</t>
  </si>
  <si>
    <t>Земельные участки, находящиеся в муниципальной собственности</t>
  </si>
  <si>
    <t> 5.2.1</t>
  </si>
  <si>
    <t>поступления от продажи земельных участков</t>
  </si>
  <si>
    <t> 5.2.2</t>
  </si>
  <si>
    <t> приобретение земельных участков</t>
  </si>
  <si>
    <t> 5.3</t>
  </si>
  <si>
    <t>Исполнение муниципальных гарантий</t>
  </si>
  <si>
    <t>5.4</t>
  </si>
  <si>
    <t>Бюджетные кредиты, предоставленные внутри страны в валюте Российской Федерации</t>
  </si>
  <si>
    <t> 5.4.1</t>
  </si>
  <si>
    <t>предоставление бюджетных кредитов</t>
  </si>
  <si>
    <t> 5.4.2</t>
  </si>
  <si>
    <t>погашение (возврат) бюджетных кредитов</t>
  </si>
  <si>
    <t> 5.5</t>
  </si>
  <si>
    <t> 5.5.1</t>
  </si>
  <si>
    <t xml:space="preserve">Источники финансирования дефицита бюджета муниципального образования "Ленский район" на 2022 год и плановый период 2023 и 2024 годов  </t>
  </si>
  <si>
    <t>Капитальные вложения в объекты муниципальной собственности</t>
  </si>
  <si>
    <t>№ п/п</t>
  </si>
  <si>
    <t>Наименование объекта</t>
  </si>
  <si>
    <t>Итого</t>
  </si>
  <si>
    <t>Cофинансирование за счет местного бюджета строительство объекта: Школа  на  50  учащихся  в с. Натора Ленского района Республики Саха (Якутия)</t>
  </si>
  <si>
    <t>Софинансирование за счет местного бюджета строительство объекта:  Физкультурно-оздоровительный комплекс в городе Ленск</t>
  </si>
  <si>
    <t>Софинансирование за счет местного бюджета строительство объекта: Стройка: "Детская школа искусств г. Ленск" Республики Саха (Якутия)"</t>
  </si>
  <si>
    <t>Приобретение квартир для бюджетной сферы</t>
  </si>
  <si>
    <t>Предоставление квартир отдельным категориям граждан</t>
  </si>
  <si>
    <t>Софинансирование за счет местного бюджета 20% на строительство объекта: Культурно-спортивный комплекс в селе Южная Нюя</t>
  </si>
  <si>
    <t>Софинансирование за счет местного бюджета 20% на строительство объекта: Дом культуры в селе Чамча</t>
  </si>
  <si>
    <t>Расходы на реконструкцию спортивного зала в поселке Пеледуй</t>
  </si>
  <si>
    <t xml:space="preserve">Благоустройство сквера старожилов </t>
  </si>
  <si>
    <t>Строительство объекта :Физкультурно -спортивная зона МБОУ "СОШ №4 г. Ленска" (сумма отражена как субсидия учреждению на иные цели по виду расхода 600)</t>
  </si>
  <si>
    <t>Приложение № 2</t>
  </si>
  <si>
    <t>Приложение № 4</t>
  </si>
  <si>
    <t>Приложение № 5</t>
  </si>
  <si>
    <t>Библиотечное дело</t>
  </si>
  <si>
    <t>Музейное дело</t>
  </si>
  <si>
    <t>99500Р1012</t>
  </si>
  <si>
    <t>Единовременная выплата к знаку отличия "За заслуги перед Ленским районом"</t>
  </si>
  <si>
    <t>Пенсии за выслугу лет лицам, замещавшим муниципальные должности и должности муниципальной службы муниципального образования «Ленский район»</t>
  </si>
  <si>
    <t>99500Р1010</t>
  </si>
  <si>
    <t>Ежемесячное денежное вознаграждение Почетным гражданам Ленского района</t>
  </si>
  <si>
    <t>99500Р1011</t>
  </si>
  <si>
    <t>Поддержка табунного коневодства</t>
  </si>
  <si>
    <t>Приложение № 1</t>
  </si>
  <si>
    <t>701 2 02 30024 05 6336 150</t>
  </si>
  <si>
    <t>701 2 02 25511 05 0000 150</t>
  </si>
  <si>
    <t>Субсидии на проведение комплексных кадастровых работ в рамках федеральной целевой программы "Национальная система пространственных данных"</t>
  </si>
  <si>
    <t>701 2 02 20000 00 0000 150</t>
  </si>
  <si>
    <t>Разработка проектно-сметной документации четырехэтажного двухсекционного 37 квартирного жилого дома, г. Ленск ул. Заозерная д.43 «А»</t>
  </si>
  <si>
    <t>Выполнение работ по актуализации проектно-сметной документации по объекту «Физкультурно-оздоровительный комплекс с плавательным бассейном и хоккейным кортом в городе Ленске Ленского улуса (района) РС (Я)»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</si>
  <si>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</si>
  <si>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31200L5110</t>
  </si>
  <si>
    <t>Устройство септика  спортивного зала п.Пеледуй</t>
  </si>
  <si>
    <t>Приложение № 9</t>
  </si>
  <si>
    <t>Иные дотации</t>
  </si>
  <si>
    <t>Предоставление дотации на поддержку мер по обеспечению сбалансированности местных бюджетов (за счет средств ГБ)</t>
  </si>
  <si>
    <t>9960061020</t>
  </si>
  <si>
    <t>Дотации бюджетам муниципальных районов на поддержку мер по обеспечению сбалансированности бюджетов</t>
  </si>
  <si>
    <t>701 2 02 15002 05 0000 150</t>
  </si>
  <si>
    <t>701 2 02 15000 00 0000 150</t>
  </si>
  <si>
    <t>701 2 02 15001 05 0000 150</t>
  </si>
  <si>
    <t>701 2 02 29999 05 6201 150</t>
  </si>
  <si>
    <t xml:space="preserve">Предоставление дотации на поддержку мер по обеспечению сбалансированности местных бюджетов </t>
  </si>
  <si>
    <t>2</t>
  </si>
  <si>
    <t>3.</t>
  </si>
  <si>
    <t>4.1.1.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</si>
  <si>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</si>
  <si>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</si>
  <si>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</si>
  <si>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</si>
  <si>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</si>
  <si>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</si>
  <si>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</si>
  <si>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</si>
  <si>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</si>
  <si>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</si>
  <si>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</si>
  <si>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701 2 02 20077 05 6421 150</t>
  </si>
  <si>
    <t xml:space="preserve">Софинансирование капитальных вложений в объекты общего образования муниципальной собственностии (или) приобретения объектов недвижимого имущества в муниципальную собственность для организаций общего образования </t>
  </si>
  <si>
    <t>1290064210</t>
  </si>
  <si>
    <t>Софинансирование капитальных вложений в объекты общего образования муниципальной собственности и (или) приобретения объектов недвижимого имущества в муниципальную собственность для организаций общего образования (Школа на 50 учащихся в с. Натора Ленского района) (за счет средств ГБ)</t>
  </si>
  <si>
    <t>701 2 02 25304 05 0000 150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</si>
  <si>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</si>
  <si>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701 2 02 25497 05 0000 150</t>
  </si>
  <si>
    <t xml:space="preserve">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</si>
  <si>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1850062120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</si>
  <si>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</si>
  <si>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</si>
  <si>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</t>
  </si>
  <si>
    <t>701 2 02 30024 05 6301 150</t>
  </si>
  <si>
    <t>701 2 02 30024 05 6302 150</t>
  </si>
  <si>
    <t>Субвенция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</si>
  <si>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701 2 02 30024 05 6303 150</t>
  </si>
  <si>
    <t>Субвенция на 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программам,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</si>
  <si>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701 2 02 30024 05 6311 150</t>
  </si>
  <si>
    <t>Субвенция на выполнение отдельных государственных полномочий по опеке и попечительству в отношении несовершеннолетних</t>
  </si>
  <si>
    <t>701 2 02 30024 05 6325 150</t>
  </si>
  <si>
    <t>Субвенции бюджетам муниципальных районов на выполнение передаваемых полномочий субъектов Российской Федерации, связанные с обеспечением осуществления отдельных государственных полномочий по поддержке сельскохозяйственного производства</t>
  </si>
  <si>
    <t>701 2 02 30024 05 6326 150</t>
  </si>
  <si>
    <t>Субвенция на 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</si>
  <si>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701 2 02 30024 05 6329 150</t>
  </si>
  <si>
    <t>Субвенции бюджетам муниципальных районов на выполнение передаваемых полномочий субъектов Российской Федерации (выполнение  отдельных государственных полномочий в области охраны труда)</t>
  </si>
  <si>
    <t>701 2 02 30024 05 6330 150</t>
  </si>
  <si>
    <t>Субвенция на выполнение отдельных государственных полномочий по созданию административных комиссий</t>
  </si>
  <si>
    <t>701 2 02 30024 05 6331 150</t>
  </si>
  <si>
    <t>Субвенция на выполнение отдельных государственных полномочий по исполнению функций комиссий по делам несовершеннолетних и защите их прав</t>
  </si>
  <si>
    <t>701 2 02 30024 05 6332 150</t>
  </si>
  <si>
    <t>701 2 02 30024 05 6333 150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</si>
  <si>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</si>
  <si>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701 2 02 30024 05 6335 150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</si>
  <si>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</si>
  <si>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Выполнение отдельных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 общих для человека и животных</t>
  </si>
  <si>
    <t>701 2 02 30024 05 6337 150</t>
  </si>
  <si>
    <t>701 2 02 30024 05 6338 150</t>
  </si>
  <si>
    <t>Субвенция на 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(за счет средств ГБ)</t>
  </si>
  <si>
    <t>701 2 02 30024 05 6340 150</t>
  </si>
  <si>
    <t>Единая субвенция  на выполнение отдельных государственных  полномочий  по предоставлению мер социальной поддержки детям сиротам и детям оставшимся без попечения родителей</t>
  </si>
  <si>
    <t>701 2 02 30024 05 6345 150</t>
  </si>
  <si>
    <t>Субвенция на выполнение ОМСУ МР и ГО отдельных государственных полномочий по поддержке скотоводства в личных подсобных хозяйствах граждан</t>
  </si>
  <si>
    <t>701 2 02 30024 05 6346 150</t>
  </si>
  <si>
    <t>Субвенция на 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</si>
  <si>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701 2 02 30024 05 6347 150</t>
  </si>
  <si>
    <t>Субвенция на 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</si>
  <si>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701 2 02 30024 05 6348 150</t>
  </si>
  <si>
    <t>Субвенция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образовательные программы</t>
  </si>
  <si>
    <t>701 2 02 30029 05 6305 150</t>
  </si>
  <si>
    <t>701 2 02 35120 05 0000 150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</si>
  <si>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</si>
  <si>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701 2 02 35303 05 0000 150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</si>
  <si>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общегообразования, в тос числе адаптивные основные общеобразовательные прораммы</t>
  </si>
  <si>
    <t>Субсидии бюджетам муниципальных районов на реализацию мероприятий по обеспечению жильем молодых семей</t>
  </si>
  <si>
    <t>701 1 13 02995 05 0000 100</t>
  </si>
  <si>
    <t>Прочие доходы от компенсации затрат бюджетов муниципальных районов</t>
  </si>
  <si>
    <t>1260010010</t>
  </si>
  <si>
    <t>Организация и обеспечение отдыха детей и их оздоровления</t>
  </si>
  <si>
    <t>701 2 02 29999 05 6212 150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</si>
  <si>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</si>
  <si>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Проведение государственной экспертизы сметной части проектной документации объекта капитального строительства «Культурно-спортивный комплекс в с. Нюя»</t>
  </si>
  <si>
    <t xml:space="preserve"> Доходы бюджетов муниципальных районов от возврата бюджетными учреждениями остатков субсидий прошлых лет</t>
  </si>
  <si>
    <t>701 2 18 05010 05 0000 150</t>
  </si>
  <si>
    <t>701 2 07 05030 05 0000 150</t>
  </si>
  <si>
    <t>701 2 07 00000 00 0000 150</t>
  </si>
  <si>
    <t>9</t>
  </si>
  <si>
    <t xml:space="preserve">Оплата счетов, выставленных ЗЭС ПАО «Якутэнерго» на возмещение затрат за ТУ и ПИР по по объектам  «Культурно-спортивный комплекс в селе Южная Нюя», «Дом культуры в селе Беченча», «Дом культуры в селе Чамча», «Дом культуры в поселке  Витим»  </t>
  </si>
  <si>
    <t>701 2 18 60010 05 0000 150</t>
  </si>
  <si>
    <t>Прочие доходы от оказания платных услуг (работ) получателями средств бюджетов муниципальных районов (МКОО ДО "ЦДО "Сэргэ")</t>
  </si>
  <si>
    <t>701 1 13 01995 05 0044 130</t>
  </si>
  <si>
    <t>3110022001</t>
  </si>
  <si>
    <t>2.11.</t>
  </si>
  <si>
    <t xml:space="preserve">  Субсидия из государственного бюджета Республики Саха (Якутия) на разработку и внесение изменений в документы территориального планирования, градостроительного зонирования, планировки территорий</t>
  </si>
  <si>
    <t>701 2 02 02999 05 6221 150</t>
  </si>
  <si>
    <t>Прочие субсидии бюджетам муниципальных районов на софинансирование реализации мероприятий муниципальных программ (подпрограмм) развития кормопроизводства</t>
  </si>
  <si>
    <t>701 2 02 02999 05 6269 150</t>
  </si>
  <si>
    <t>Реализация градостроительной политики</t>
  </si>
  <si>
    <t>Разработка и внесение изменений в документы территориального планирования (за счет средств ГБ)</t>
  </si>
  <si>
    <t>Изъятие объектов недвижимого имущества для муниуипальных нужд</t>
  </si>
  <si>
    <t>ДОХОДЫ ОТ ОКАЗАНИЯ ПЛАТНЫХ УСЛУГ  И КОМПЕНСАЦИИ ЗАТРАТ ГОСУДАРСТВА</t>
  </si>
  <si>
    <t xml:space="preserve">  ШТРАФЫ, САНКЦИИ, ВОЗМЕЩЕНИЕ УЩЕРБА</t>
  </si>
  <si>
    <t>701 1 14 00000 00 0000 000</t>
  </si>
  <si>
    <t>701 1 14 06013 13 0000 430</t>
  </si>
  <si>
    <t>701 1 14 06013 05 0000 430</t>
  </si>
  <si>
    <t>7011 14 06000 05 0000 430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</si>
  <si>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</si>
  <si>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</si>
  <si>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701 1 16 07010 05 0000 140</t>
  </si>
  <si>
    <t>701 1 16 00000 00 0000 000</t>
  </si>
  <si>
    <t>701 1 1610123 01 0000 140</t>
  </si>
  <si>
    <t>Софинансирование на приобретение квартир для детей-сирот и детей, оставшимся без попечения родителей</t>
  </si>
  <si>
    <t>25К0010070</t>
  </si>
  <si>
    <t>Выполнение работ по "Разработке проекто-сметной документации объекта капитального строительства "Общественный центр в с. Батамай Ленского района РС (Я)"</t>
  </si>
  <si>
    <t>9930010020</t>
  </si>
  <si>
    <t>НАЦИОНАЛЬНАЯ ОБОРОНА</t>
  </si>
  <si>
    <t>Мобилизационная и вневойсковая подготовка</t>
  </si>
  <si>
    <t>Мероприятия по проведению мобилизации</t>
  </si>
  <si>
    <t>9950011030</t>
  </si>
  <si>
    <t>№ 1-7</t>
  </si>
  <si>
    <t>от 8 декабря 2022 г.</t>
  </si>
  <si>
    <t>от 8 декабря 2022  г.</t>
  </si>
  <si>
    <t xml:space="preserve"> № 1-7</t>
  </si>
  <si>
    <t xml:space="preserve"> от 8 декабря 2022 г.</t>
  </si>
</sst>
</file>

<file path=xl/styles.xml><?xml version="1.0" encoding="utf-8"?>
<styleSheet xmlns="http://schemas.openxmlformats.org/spreadsheetml/2006/main">
  <numFmts count="9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_-* #,##0.00\ _₽_-;\-* #,##0.00\ _₽_-;_-* &quot;-&quot;??\ _₽_-;_-@_-"/>
  </numFmts>
  <fonts count="9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4" fillId="0" borderId="0">
      <alignment/>
      <protection/>
    </xf>
    <xf numFmtId="0" fontId="66" fillId="27" borderId="1" applyNumberFormat="0" applyAlignment="0" applyProtection="0"/>
    <xf numFmtId="0" fontId="67" fillId="28" borderId="2" applyNumberFormat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4" fillId="0" borderId="0">
      <alignment/>
      <protection/>
    </xf>
    <xf numFmtId="0" fontId="81" fillId="0" borderId="0" applyNumberFormat="0" applyFill="0" applyBorder="0" applyAlignment="0" applyProtection="0"/>
    <xf numFmtId="0" fontId="78" fillId="33" borderId="0">
      <alignment/>
      <protection/>
    </xf>
    <xf numFmtId="0" fontId="78" fillId="34" borderId="0">
      <alignment/>
      <protection/>
    </xf>
    <xf numFmtId="0" fontId="78" fillId="0" borderId="0">
      <alignment horizontal="left" wrapText="1"/>
      <protection/>
    </xf>
    <xf numFmtId="0" fontId="78" fillId="0" borderId="0">
      <alignment wrapText="1"/>
      <protection/>
    </xf>
    <xf numFmtId="0" fontId="82" fillId="0" borderId="0">
      <alignment horizontal="center" wrapText="1"/>
      <protection/>
    </xf>
    <xf numFmtId="1" fontId="78" fillId="0" borderId="10">
      <alignment horizontal="center" vertical="top" shrinkToFit="1"/>
      <protection/>
    </xf>
    <xf numFmtId="0" fontId="82" fillId="0" borderId="0">
      <alignment horizontal="center"/>
      <protection/>
    </xf>
    <xf numFmtId="0" fontId="78" fillId="0" borderId="0">
      <alignment horizontal="right"/>
      <protection/>
    </xf>
    <xf numFmtId="0" fontId="78" fillId="33" borderId="11">
      <alignment/>
      <protection/>
    </xf>
    <xf numFmtId="0" fontId="78" fillId="34" borderId="11">
      <alignment/>
      <protection/>
    </xf>
    <xf numFmtId="0" fontId="78" fillId="0" borderId="10">
      <alignment horizontal="center" vertical="center" wrapText="1"/>
      <protection/>
    </xf>
    <xf numFmtId="0" fontId="78" fillId="33" borderId="12">
      <alignment/>
      <protection/>
    </xf>
    <xf numFmtId="0" fontId="78" fillId="34" borderId="12">
      <alignment/>
      <protection/>
    </xf>
    <xf numFmtId="49" fontId="78" fillId="0" borderId="10">
      <alignment horizontal="center" vertical="top" shrinkToFit="1"/>
      <protection/>
    </xf>
    <xf numFmtId="49" fontId="78" fillId="0" borderId="10">
      <alignment horizontal="left" vertical="top" wrapText="1" indent="2"/>
      <protection/>
    </xf>
    <xf numFmtId="0" fontId="78" fillId="33" borderId="13">
      <alignment/>
      <protection/>
    </xf>
    <xf numFmtId="0" fontId="83" fillId="0" borderId="10">
      <alignment horizontal="left"/>
      <protection/>
    </xf>
    <xf numFmtId="0" fontId="78" fillId="0" borderId="10">
      <alignment horizontal="center" vertical="top" wrapText="1"/>
      <protection/>
    </xf>
    <xf numFmtId="49" fontId="83" fillId="0" borderId="10">
      <alignment horizontal="left" vertical="top" shrinkToFit="1"/>
      <protection/>
    </xf>
    <xf numFmtId="0" fontId="78" fillId="33" borderId="13">
      <alignment/>
      <protection/>
    </xf>
    <xf numFmtId="4" fontId="78" fillId="0" borderId="10">
      <alignment horizontal="right" vertical="top" shrinkToFit="1"/>
      <protection/>
    </xf>
    <xf numFmtId="0" fontId="78" fillId="0" borderId="0">
      <alignment/>
      <protection/>
    </xf>
    <xf numFmtId="10" fontId="78" fillId="0" borderId="10">
      <alignment horizontal="center" vertical="top" shrinkToFit="1"/>
      <protection/>
    </xf>
    <xf numFmtId="0" fontId="78" fillId="0" borderId="10">
      <alignment horizontal="center" vertical="top" wrapText="1"/>
      <protection/>
    </xf>
    <xf numFmtId="0" fontId="78" fillId="0" borderId="0">
      <alignment horizontal="left" wrapText="1"/>
      <protection/>
    </xf>
    <xf numFmtId="0" fontId="78" fillId="34" borderId="13">
      <alignment/>
      <protection/>
    </xf>
    <xf numFmtId="0" fontId="78" fillId="0" borderId="10">
      <alignment horizontal="center" vertical="center" wrapText="1"/>
      <protection/>
    </xf>
    <xf numFmtId="49" fontId="78" fillId="0" borderId="10">
      <alignment horizontal="center" vertical="top" shrinkToFit="1"/>
      <protection/>
    </xf>
    <xf numFmtId="49" fontId="83" fillId="0" borderId="10">
      <alignment horizontal="left" vertical="top" shrinkToFit="1"/>
      <protection/>
    </xf>
    <xf numFmtId="0" fontId="78" fillId="0" borderId="10">
      <alignment horizontal="center" vertical="center" wrapText="1"/>
      <protection/>
    </xf>
    <xf numFmtId="4" fontId="78" fillId="0" borderId="10">
      <alignment horizontal="right" vertical="top" shrinkToFit="1"/>
      <protection/>
    </xf>
    <xf numFmtId="4" fontId="83" fillId="35" borderId="10">
      <alignment horizontal="right" vertical="top" shrinkToFit="1"/>
      <protection/>
    </xf>
    <xf numFmtId="49" fontId="83" fillId="0" borderId="10">
      <alignment horizontal="left" vertical="top" shrinkToFit="1"/>
      <protection/>
    </xf>
    <xf numFmtId="4" fontId="83" fillId="32" borderId="10">
      <alignment horizontal="right" vertical="top" shrinkToFit="1"/>
      <protection/>
    </xf>
    <xf numFmtId="10" fontId="83" fillId="35" borderId="10">
      <alignment horizontal="center" vertical="top" shrinkToFit="1"/>
      <protection/>
    </xf>
    <xf numFmtId="4" fontId="78" fillId="0" borderId="10">
      <alignment horizontal="right" vertical="top" shrinkToFit="1"/>
      <protection/>
    </xf>
    <xf numFmtId="0" fontId="78" fillId="0" borderId="10">
      <alignment horizontal="center" vertical="center" wrapText="1"/>
      <protection/>
    </xf>
    <xf numFmtId="0" fontId="78" fillId="0" borderId="0">
      <alignment/>
      <protection/>
    </xf>
    <xf numFmtId="4" fontId="83" fillId="35" borderId="10">
      <alignment horizontal="right" vertical="top" shrinkToFit="1"/>
      <protection/>
    </xf>
    <xf numFmtId="0" fontId="78" fillId="0" borderId="0">
      <alignment horizontal="left" wrapText="1"/>
      <protection/>
    </xf>
    <xf numFmtId="0" fontId="78" fillId="34" borderId="11">
      <alignment horizontal="left"/>
      <protection/>
    </xf>
    <xf numFmtId="0" fontId="78" fillId="0" borderId="0">
      <alignment horizontal="left" wrapText="1"/>
      <protection/>
    </xf>
    <xf numFmtId="10" fontId="78" fillId="0" borderId="10">
      <alignment horizontal="right" vertical="top" shrinkToFit="1"/>
      <protection/>
    </xf>
    <xf numFmtId="0" fontId="78" fillId="0" borderId="10">
      <alignment horizontal="left" vertical="top" wrapText="1"/>
      <protection/>
    </xf>
    <xf numFmtId="10" fontId="78" fillId="0" borderId="10">
      <alignment horizontal="center" vertical="top" shrinkToFit="1"/>
      <protection/>
    </xf>
    <xf numFmtId="10" fontId="83" fillId="32" borderId="10">
      <alignment horizontal="right" vertical="top" shrinkToFit="1"/>
      <protection/>
    </xf>
    <xf numFmtId="4" fontId="83" fillId="36" borderId="10">
      <alignment horizontal="right" vertical="top" shrinkToFit="1"/>
      <protection/>
    </xf>
    <xf numFmtId="10" fontId="83" fillId="35" borderId="10">
      <alignment horizontal="center" vertical="top" shrinkToFit="1"/>
      <protection/>
    </xf>
    <xf numFmtId="0" fontId="82" fillId="0" borderId="0">
      <alignment horizontal="center" wrapText="1"/>
      <protection/>
    </xf>
    <xf numFmtId="10" fontId="83" fillId="36" borderId="10">
      <alignment horizontal="center" vertical="top" shrinkToFit="1"/>
      <protection/>
    </xf>
    <xf numFmtId="0" fontId="82" fillId="0" borderId="0">
      <alignment horizontal="center" wrapText="1"/>
      <protection/>
    </xf>
    <xf numFmtId="0" fontId="82" fillId="0" borderId="0">
      <alignment horizontal="center"/>
      <protection/>
    </xf>
    <xf numFmtId="0" fontId="78" fillId="34" borderId="12">
      <alignment horizontal="left"/>
      <protection/>
    </xf>
    <xf numFmtId="0" fontId="82" fillId="0" borderId="0">
      <alignment horizontal="center"/>
      <protection/>
    </xf>
    <xf numFmtId="0" fontId="83" fillId="0" borderId="10">
      <alignment vertical="top" wrapText="1"/>
      <protection/>
    </xf>
    <xf numFmtId="0" fontId="78" fillId="34" borderId="13">
      <alignment horizontal="left"/>
      <protection/>
    </xf>
    <xf numFmtId="0" fontId="78" fillId="0" borderId="10">
      <alignment horizontal="left" vertical="top" wrapText="1"/>
      <protection/>
    </xf>
    <xf numFmtId="4" fontId="83" fillId="36" borderId="10">
      <alignment horizontal="right" vertical="top" shrinkToFit="1"/>
      <protection/>
    </xf>
    <xf numFmtId="0" fontId="78" fillId="34" borderId="0">
      <alignment horizontal="left"/>
      <protection/>
    </xf>
    <xf numFmtId="4" fontId="83" fillId="36" borderId="10">
      <alignment horizontal="right" vertical="top" shrinkToFit="1"/>
      <protection/>
    </xf>
    <xf numFmtId="10" fontId="83" fillId="36" borderId="10">
      <alignment horizontal="right" vertical="top" shrinkToFit="1"/>
      <protection/>
    </xf>
    <xf numFmtId="10" fontId="83" fillId="36" borderId="10">
      <alignment horizontal="center" vertical="top" shrinkToFit="1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4" fillId="30" borderId="1" applyNumberFormat="0" applyAlignment="0" applyProtection="0"/>
    <xf numFmtId="0" fontId="85" fillId="27" borderId="8" applyNumberFormat="0" applyAlignment="0" applyProtection="0"/>
    <xf numFmtId="0" fontId="86" fillId="27" borderId="1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28" borderId="2" applyNumberFormat="0" applyAlignment="0" applyProtection="0"/>
    <xf numFmtId="0" fontId="89" fillId="0" borderId="0" applyNumberFormat="0" applyFill="0" applyBorder="0" applyAlignment="0" applyProtection="0"/>
    <xf numFmtId="0" fontId="9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37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1" fillId="26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9" fontId="21" fillId="0" borderId="0" applyFont="0" applyFill="0" applyBorder="0" applyAlignment="0" applyProtection="0"/>
    <xf numFmtId="0" fontId="93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69" fillId="29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4" xfId="165" applyFont="1" applyFill="1" applyBorder="1" applyAlignment="1">
      <alignment horizontal="left" vertical="top" wrapText="1"/>
      <protection/>
    </xf>
    <xf numFmtId="0" fontId="12" fillId="0" borderId="14" xfId="165" applyFont="1" applyFill="1" applyBorder="1" applyAlignment="1">
      <alignment horizontal="justify" vertical="top" wrapText="1"/>
      <protection/>
    </xf>
    <xf numFmtId="0" fontId="5" fillId="0" borderId="14" xfId="165" applyFont="1" applyFill="1" applyBorder="1" applyAlignment="1">
      <alignment horizontal="justify" vertical="top" wrapText="1"/>
      <protection/>
    </xf>
    <xf numFmtId="49" fontId="12" fillId="0" borderId="14" xfId="165" applyNumberFormat="1" applyFont="1" applyFill="1" applyBorder="1" applyAlignment="1">
      <alignment vertical="top" wrapText="1"/>
      <protection/>
    </xf>
    <xf numFmtId="0" fontId="12" fillId="0" borderId="14" xfId="165" applyFont="1" applyFill="1" applyBorder="1" applyAlignment="1">
      <alignment horizontal="left" vertical="top" wrapText="1"/>
      <protection/>
    </xf>
    <xf numFmtId="4" fontId="12" fillId="0" borderId="14" xfId="165" applyNumberFormat="1" applyFont="1" applyFill="1" applyBorder="1" applyAlignment="1" applyProtection="1">
      <alignment horizontal="right" vertical="top" shrinkToFit="1"/>
      <protection locked="0"/>
    </xf>
    <xf numFmtId="0" fontId="12" fillId="0" borderId="15" xfId="165" applyFont="1" applyFill="1" applyBorder="1" applyAlignment="1">
      <alignment vertical="top" wrapText="1"/>
      <protection/>
    </xf>
    <xf numFmtId="49" fontId="12" fillId="0" borderId="14" xfId="0" applyNumberFormat="1" applyFont="1" applyFill="1" applyBorder="1" applyAlignment="1">
      <alignment horizontal="justify" vertical="center" wrapText="1"/>
    </xf>
    <xf numFmtId="0" fontId="5" fillId="0" borderId="14" xfId="165" applyFont="1" applyFill="1" applyBorder="1" applyAlignment="1">
      <alignment horizontal="right" vertical="top" wrapText="1"/>
      <protection/>
    </xf>
    <xf numFmtId="49" fontId="5" fillId="0" borderId="14" xfId="165" applyNumberFormat="1" applyFont="1" applyFill="1" applyBorder="1" applyAlignment="1">
      <alignment horizontal="left" vertical="top" shrinkToFit="1"/>
      <protection/>
    </xf>
    <xf numFmtId="49" fontId="12" fillId="0" borderId="14" xfId="165" applyNumberFormat="1" applyFont="1" applyFill="1" applyBorder="1" applyAlignment="1">
      <alignment horizontal="left" vertical="top" shrinkToFit="1"/>
      <protection/>
    </xf>
    <xf numFmtId="4" fontId="16" fillId="0" borderId="14" xfId="0" applyNumberFormat="1" applyFont="1" applyFill="1" applyBorder="1" applyAlignment="1" applyProtection="1">
      <alignment horizontal="right" vertical="center" shrinkToFit="1"/>
      <protection locked="0"/>
    </xf>
    <xf numFmtId="4" fontId="18" fillId="0" borderId="14" xfId="0" applyNumberFormat="1" applyFont="1" applyFill="1" applyBorder="1" applyAlignment="1">
      <alignment vertical="center"/>
    </xf>
    <xf numFmtId="49" fontId="12" fillId="0" borderId="14" xfId="165" applyNumberFormat="1" applyFont="1" applyFill="1" applyBorder="1" applyAlignment="1">
      <alignment vertical="top" shrinkToFit="1"/>
      <protection/>
    </xf>
    <xf numFmtId="4" fontId="12" fillId="0" borderId="14" xfId="0" applyNumberFormat="1" applyFont="1" applyFill="1" applyBorder="1" applyAlignment="1" applyProtection="1">
      <alignment horizontal="right" vertical="top" shrinkToFit="1"/>
      <protection locked="0"/>
    </xf>
    <xf numFmtId="4" fontId="12" fillId="0" borderId="14" xfId="0" applyNumberFormat="1" applyFont="1" applyFill="1" applyBorder="1" applyAlignment="1">
      <alignment vertical="center"/>
    </xf>
    <xf numFmtId="4" fontId="5" fillId="0" borderId="14" xfId="165" applyNumberFormat="1" applyFont="1" applyFill="1" applyBorder="1" applyAlignment="1" applyProtection="1">
      <alignment horizontal="right" vertical="top" shrinkToFi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14" xfId="0" applyNumberFormat="1" applyFont="1" applyFill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7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5" fillId="8" borderId="14" xfId="0" applyFont="1" applyFill="1" applyBorder="1" applyAlignment="1">
      <alignment wrapText="1" shrinkToFit="1"/>
    </xf>
    <xf numFmtId="49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10" borderId="14" xfId="67" applyFont="1" applyFill="1" applyBorder="1" applyAlignment="1">
      <alignment horizontal="left" vertical="center" wrapText="1" shrinkToFit="1"/>
    </xf>
    <xf numFmtId="49" fontId="5" fillId="10" borderId="14" xfId="0" applyNumberFormat="1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wrapText="1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wrapText="1" shrinkToFit="1"/>
    </xf>
    <xf numFmtId="49" fontId="5" fillId="11" borderId="14" xfId="285" applyNumberFormat="1" applyFont="1" applyFill="1" applyBorder="1" applyAlignment="1">
      <alignment horizontal="left" vertical="center" wrapText="1" shrinkToFit="1"/>
      <protection/>
    </xf>
    <xf numFmtId="49" fontId="5" fillId="11" borderId="14" xfId="0" applyNumberFormat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4" fontId="39" fillId="11" borderId="14" xfId="0" applyNumberFormat="1" applyFont="1" applyFill="1" applyBorder="1" applyAlignment="1">
      <alignment horizontal="right" vertical="center"/>
    </xf>
    <xf numFmtId="49" fontId="5" fillId="10" borderId="14" xfId="285" applyNumberFormat="1" applyFont="1" applyFill="1" applyBorder="1" applyAlignment="1" quotePrefix="1">
      <alignment horizontal="left" vertical="center" wrapText="1" shrinkToFit="1"/>
      <protection/>
    </xf>
    <xf numFmtId="0" fontId="5" fillId="10" borderId="14" xfId="0" applyFont="1" applyFill="1" applyBorder="1" applyAlignment="1" quotePrefix="1">
      <alignment wrapText="1" shrinkToFit="1"/>
    </xf>
    <xf numFmtId="0" fontId="5" fillId="10" borderId="14" xfId="0" applyFont="1" applyFill="1" applyBorder="1" applyAlignment="1">
      <alignment horizontal="left" vertical="center" wrapText="1" shrinkToFit="1"/>
    </xf>
    <xf numFmtId="0" fontId="5" fillId="10" borderId="16" xfId="0" applyFont="1" applyFill="1" applyBorder="1" applyAlignment="1">
      <alignment horizontal="center" vertical="center" wrapText="1"/>
    </xf>
    <xf numFmtId="4" fontId="39" fillId="10" borderId="14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49" fontId="5" fillId="10" borderId="14" xfId="285" applyNumberFormat="1" applyFont="1" applyFill="1" applyBorder="1" applyAlignment="1">
      <alignment horizontal="left" vertical="center" wrapText="1" shrinkToFit="1"/>
      <protection/>
    </xf>
    <xf numFmtId="4" fontId="12" fillId="0" borderId="14" xfId="0" applyNumberFormat="1" applyFont="1" applyFill="1" applyBorder="1" applyAlignment="1">
      <alignment horizontal="right" vertical="center"/>
    </xf>
    <xf numFmtId="4" fontId="5" fillId="8" borderId="14" xfId="0" applyNumberFormat="1" applyFont="1" applyFill="1" applyBorder="1" applyAlignment="1">
      <alignment horizontal="right" vertical="center"/>
    </xf>
    <xf numFmtId="0" fontId="5" fillId="0" borderId="14" xfId="67" applyFont="1" applyFill="1" applyBorder="1" applyAlignment="1">
      <alignment horizontal="left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wrapText="1" shrinkToFit="1"/>
    </xf>
    <xf numFmtId="0" fontId="5" fillId="0" borderId="14" xfId="0" applyFont="1" applyFill="1" applyBorder="1" applyAlignment="1" quotePrefix="1">
      <alignment wrapText="1" shrinkToFit="1"/>
    </xf>
    <xf numFmtId="49" fontId="5" fillId="8" borderId="14" xfId="0" applyNumberFormat="1" applyFont="1" applyFill="1" applyBorder="1" applyAlignment="1">
      <alignment wrapText="1" shrinkToFit="1"/>
    </xf>
    <xf numFmtId="49" fontId="5" fillId="8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wrapText="1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8" fillId="38" borderId="0" xfId="0" applyFont="1" applyFill="1" applyAlignment="1">
      <alignment/>
    </xf>
    <xf numFmtId="0" fontId="4" fillId="38" borderId="0" xfId="0" applyFont="1" applyFill="1" applyAlignment="1">
      <alignment/>
    </xf>
    <xf numFmtId="4" fontId="12" fillId="38" borderId="14" xfId="0" applyNumberFormat="1" applyFont="1" applyFill="1" applyBorder="1" applyAlignment="1">
      <alignment horizontal="right" vertical="center"/>
    </xf>
    <xf numFmtId="49" fontId="16" fillId="0" borderId="14" xfId="113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 quotePrefix="1">
      <alignment wrapText="1" shrinkToFit="1"/>
    </xf>
    <xf numFmtId="0" fontId="5" fillId="39" borderId="14" xfId="0" applyFont="1" applyFill="1" applyBorder="1" applyAlignment="1">
      <alignment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 quotePrefix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12" fillId="0" borderId="14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wrapText="1"/>
    </xf>
    <xf numFmtId="4" fontId="12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wrapText="1" shrinkToFit="1"/>
    </xf>
    <xf numFmtId="4" fontId="5" fillId="0" borderId="14" xfId="0" applyNumberFormat="1" applyFont="1" applyFill="1" applyBorder="1" applyAlignment="1">
      <alignment/>
    </xf>
    <xf numFmtId="49" fontId="12" fillId="0" borderId="14" xfId="113" applyNumberFormat="1" applyFont="1" applyFill="1" applyBorder="1" applyAlignment="1" applyProtection="1">
      <alignment horizontal="center" shrinkToFit="1"/>
      <protection locked="0"/>
    </xf>
    <xf numFmtId="49" fontId="5" fillId="0" borderId="14" xfId="113" applyNumberFormat="1" applyFont="1" applyFill="1" applyBorder="1" applyAlignment="1" applyProtection="1">
      <alignment horizontal="center" shrinkToFit="1"/>
      <protection locked="0"/>
    </xf>
    <xf numFmtId="49" fontId="12" fillId="0" borderId="14" xfId="0" applyNumberFormat="1" applyFont="1" applyFill="1" applyBorder="1" applyAlignment="1">
      <alignment horizontal="left" wrapText="1" shrinkToFit="1"/>
    </xf>
    <xf numFmtId="49" fontId="5" fillId="0" borderId="1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4" xfId="0" applyNumberFormat="1" applyFont="1" applyFill="1" applyBorder="1" applyAlignment="1">
      <alignment horizontal="left" vertical="top" wrapText="1" shrinkToFit="1"/>
    </xf>
    <xf numFmtId="49" fontId="12" fillId="0" borderId="14" xfId="0" applyNumberFormat="1" applyFont="1" applyFill="1" applyBorder="1" applyAlignment="1">
      <alignment horizontal="center" shrinkToFit="1"/>
    </xf>
    <xf numFmtId="0" fontId="12" fillId="0" borderId="14" xfId="0" applyNumberFormat="1" applyFont="1" applyFill="1" applyBorder="1" applyAlignment="1">
      <alignment horizontal="left" vertical="top" wrapText="1" shrinkToFit="1"/>
    </xf>
    <xf numFmtId="0" fontId="12" fillId="0" borderId="0" xfId="0" applyFont="1" applyFill="1" applyAlignment="1">
      <alignment wrapText="1" shrinkToFit="1"/>
    </xf>
    <xf numFmtId="0" fontId="12" fillId="0" borderId="14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 shrinkToFit="1"/>
    </xf>
    <xf numFmtId="49" fontId="5" fillId="0" borderId="14" xfId="0" applyNumberFormat="1" applyFont="1" applyFill="1" applyBorder="1" applyAlignment="1">
      <alignment vertical="top" wrapText="1"/>
    </xf>
    <xf numFmtId="4" fontId="5" fillId="0" borderId="14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4" fontId="16" fillId="0" borderId="14" xfId="0" applyNumberFormat="1" applyFont="1" applyFill="1" applyBorder="1" applyAlignment="1">
      <alignment horizontal="right" shrinkToFit="1"/>
    </xf>
    <xf numFmtId="0" fontId="44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 horizontal="left" vertical="center" wrapText="1" shrinkToFit="1"/>
    </xf>
    <xf numFmtId="0" fontId="45" fillId="0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0" fontId="6" fillId="0" borderId="0" xfId="0" applyFont="1" applyFill="1" applyAlignment="1">
      <alignment/>
    </xf>
    <xf numFmtId="49" fontId="12" fillId="0" borderId="14" xfId="285" applyNumberFormat="1" applyFont="1" applyFill="1" applyBorder="1" applyAlignment="1" quotePrefix="1">
      <alignment horizontal="left" vertical="center" wrapText="1" shrinkToFit="1"/>
      <protection/>
    </xf>
    <xf numFmtId="0" fontId="12" fillId="0" borderId="17" xfId="0" applyFont="1" applyFill="1" applyBorder="1" applyAlignment="1">
      <alignment horizontal="left" vertical="center" wrapText="1" shrinkToFi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12" fillId="0" borderId="17" xfId="0" applyNumberFormat="1" applyFont="1" applyFill="1" applyBorder="1" applyAlignment="1">
      <alignment horizontal="left" vertical="center" wrapText="1" shrinkToFit="1"/>
    </xf>
    <xf numFmtId="49" fontId="12" fillId="0" borderId="14" xfId="0" applyNumberFormat="1" applyFont="1" applyFill="1" applyBorder="1" applyAlignment="1">
      <alignment horizontal="left" vertical="center" wrapText="1" shrinkToFit="1"/>
    </xf>
    <xf numFmtId="4" fontId="41" fillId="0" borderId="14" xfId="0" applyNumberFormat="1" applyFont="1" applyFill="1" applyBorder="1" applyAlignment="1">
      <alignment horizontal="right" shrinkToFit="1"/>
    </xf>
    <xf numFmtId="0" fontId="46" fillId="0" borderId="0" xfId="0" applyFont="1" applyFill="1" applyAlignment="1">
      <alignment wrapText="1" shrinkToFit="1"/>
    </xf>
    <xf numFmtId="49" fontId="12" fillId="0" borderId="14" xfId="0" applyNumberFormat="1" applyFont="1" applyFill="1" applyBorder="1" applyAlignment="1" quotePrefix="1">
      <alignment wrapText="1" shrinkToFi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16" xfId="0" applyNumberFormat="1" applyFont="1" applyFill="1" applyBorder="1" applyAlignment="1">
      <alignment horizontal="center" vertical="top" shrinkToFit="1"/>
    </xf>
    <xf numFmtId="0" fontId="16" fillId="0" borderId="14" xfId="0" applyNumberFormat="1" applyFont="1" applyFill="1" applyBorder="1" applyAlignment="1">
      <alignment horizontal="left" vertical="top" wrapText="1" shrinkToFit="1"/>
    </xf>
    <xf numFmtId="49" fontId="12" fillId="0" borderId="14" xfId="0" applyNumberFormat="1" applyFont="1" applyFill="1" applyBorder="1" applyAlignment="1">
      <alignment horizontal="center" vertical="top" shrinkToFit="1"/>
    </xf>
    <xf numFmtId="49" fontId="12" fillId="0" borderId="16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/>
    </xf>
    <xf numFmtId="4" fontId="5" fillId="0" borderId="1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5" fillId="0" borderId="16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49" fontId="12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6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12" fillId="0" borderId="15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right"/>
    </xf>
    <xf numFmtId="3" fontId="11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4" fontId="19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4" fontId="11" fillId="0" borderId="14" xfId="0" applyNumberFormat="1" applyFont="1" applyBorder="1" applyAlignment="1">
      <alignment horizontal="right" wrapText="1"/>
    </xf>
    <xf numFmtId="4" fontId="95" fillId="0" borderId="14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center" wrapText="1"/>
    </xf>
    <xf numFmtId="4" fontId="19" fillId="0" borderId="14" xfId="0" applyNumberFormat="1" applyFont="1" applyBorder="1" applyAlignment="1">
      <alignment horizontal="right" wrapText="1"/>
    </xf>
    <xf numFmtId="4" fontId="0" fillId="0" borderId="14" xfId="0" applyNumberForma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0" xfId="0" applyFont="1" applyAlignment="1">
      <alignment/>
    </xf>
    <xf numFmtId="0" fontId="19" fillId="0" borderId="14" xfId="0" applyFont="1" applyBorder="1" applyAlignment="1">
      <alignment/>
    </xf>
    <xf numFmtId="4" fontId="96" fillId="0" borderId="14" xfId="0" applyNumberFormat="1" applyFont="1" applyBorder="1" applyAlignment="1">
      <alignment/>
    </xf>
    <xf numFmtId="0" fontId="96" fillId="0" borderId="0" xfId="0" applyFont="1" applyAlignment="1">
      <alignment/>
    </xf>
    <xf numFmtId="3" fontId="95" fillId="0" borderId="0" xfId="0" applyNumberFormat="1" applyFont="1" applyAlignment="1">
      <alignment/>
    </xf>
    <xf numFmtId="4" fontId="11" fillId="0" borderId="14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5" fillId="0" borderId="14" xfId="0" applyNumberFormat="1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wrapText="1"/>
    </xf>
    <xf numFmtId="4" fontId="95" fillId="0" borderId="14" xfId="0" applyNumberFormat="1" applyFont="1" applyFill="1" applyBorder="1" applyAlignment="1">
      <alignment vertical="center" wrapText="1"/>
    </xf>
    <xf numFmtId="3" fontId="8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4" xfId="0" applyFont="1" applyBorder="1" applyAlignment="1">
      <alignment horizontal="center" vertical="center" wrapText="1" shrinkToFit="1"/>
    </xf>
    <xf numFmtId="4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 wrapText="1" shrinkToFit="1"/>
    </xf>
    <xf numFmtId="4" fontId="12" fillId="38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38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4" fontId="5" fillId="0" borderId="14" xfId="0" applyNumberFormat="1" applyFont="1" applyFill="1" applyBorder="1" applyAlignment="1">
      <alignment horizontal="right" vertical="center" wrapText="1" shrinkToFit="1"/>
    </xf>
    <xf numFmtId="4" fontId="12" fillId="0" borderId="14" xfId="0" applyNumberFormat="1" applyFont="1" applyFill="1" applyBorder="1" applyAlignment="1">
      <alignment wrapText="1"/>
    </xf>
    <xf numFmtId="4" fontId="39" fillId="8" borderId="14" xfId="0" applyNumberFormat="1" applyFont="1" applyFill="1" applyBorder="1" applyAlignment="1">
      <alignment horizontal="right" vertical="center"/>
    </xf>
    <xf numFmtId="4" fontId="40" fillId="10" borderId="14" xfId="0" applyNumberFormat="1" applyFont="1" applyFill="1" applyBorder="1" applyAlignment="1">
      <alignment horizontal="right" vertical="center"/>
    </xf>
    <xf numFmtId="4" fontId="5" fillId="10" borderId="16" xfId="0" applyNumberFormat="1" applyFont="1" applyFill="1" applyBorder="1" applyAlignment="1">
      <alignment horizontal="right" vertical="center"/>
    </xf>
    <xf numFmtId="4" fontId="5" fillId="10" borderId="14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4" fontId="12" fillId="0" borderId="14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justify" vertical="center" wrapText="1"/>
    </xf>
    <xf numFmtId="0" fontId="12" fillId="0" borderId="14" xfId="0" applyNumberFormat="1" applyFont="1" applyFill="1" applyBorder="1" applyAlignment="1">
      <alignment horizontal="justify" vertical="top" wrapText="1"/>
    </xf>
    <xf numFmtId="0" fontId="12" fillId="0" borderId="14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49" fontId="5" fillId="0" borderId="14" xfId="165" applyNumberFormat="1" applyFont="1" applyFill="1" applyBorder="1" applyAlignment="1">
      <alignment vertical="top" wrapText="1"/>
      <protection/>
    </xf>
    <xf numFmtId="49" fontId="12" fillId="0" borderId="15" xfId="165" applyNumberFormat="1" applyFont="1" applyFill="1" applyBorder="1" applyAlignment="1">
      <alignment vertical="top" wrapText="1"/>
      <protection/>
    </xf>
    <xf numFmtId="4" fontId="12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49" fontId="5" fillId="0" borderId="14" xfId="271" applyNumberFormat="1" applyFont="1" applyFill="1" applyBorder="1" applyAlignment="1">
      <alignment horizontal="center" vertical="center"/>
      <protection/>
    </xf>
    <xf numFmtId="49" fontId="5" fillId="0" borderId="14" xfId="276" applyNumberFormat="1" applyFont="1" applyFill="1" applyBorder="1" applyAlignment="1">
      <alignment horizontal="center" vertical="center" wrapText="1" shrinkToFit="1"/>
      <protection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10" xfId="113" applyNumberFormat="1" applyFont="1" applyFill="1" applyAlignment="1" applyProtection="1">
      <alignment horizontal="center" vertical="center" shrinkToFit="1"/>
      <protection locked="0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113" applyNumberFormat="1" applyFont="1" applyFill="1" applyAlignment="1" applyProtection="1">
      <alignment horizontal="center" vertical="center" shrinkToFit="1"/>
      <protection locked="0"/>
    </xf>
    <xf numFmtId="49" fontId="12" fillId="0" borderId="14" xfId="113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113" applyNumberFormat="1" applyFont="1" applyFill="1" applyBorder="1" applyAlignment="1" applyProtection="1">
      <alignment horizontal="center" vertical="center" shrinkToFit="1"/>
      <protection locked="0"/>
    </xf>
    <xf numFmtId="4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9" fontId="5" fillId="0" borderId="14" xfId="271" applyNumberFormat="1" applyFont="1" applyFill="1" applyBorder="1" applyAlignment="1">
      <alignment vertical="center"/>
      <protection/>
    </xf>
    <xf numFmtId="49" fontId="5" fillId="0" borderId="14" xfId="276" applyNumberFormat="1" applyFont="1" applyFill="1" applyBorder="1" applyAlignment="1">
      <alignment vertical="center" wrapText="1" shrinkToFit="1"/>
      <protection/>
    </xf>
    <xf numFmtId="49" fontId="5" fillId="0" borderId="14" xfId="0" applyNumberFormat="1" applyFont="1" applyFill="1" applyBorder="1" applyAlignment="1">
      <alignment vertical="center" wrapText="1" shrinkToFit="1"/>
    </xf>
    <xf numFmtId="49" fontId="12" fillId="0" borderId="14" xfId="0" applyNumberFormat="1" applyFont="1" applyFill="1" applyBorder="1" applyAlignment="1">
      <alignment vertical="center" wrapText="1" shrinkToFit="1"/>
    </xf>
    <xf numFmtId="49" fontId="5" fillId="0" borderId="14" xfId="255" applyNumberFormat="1" applyFont="1" applyFill="1" applyBorder="1" applyAlignment="1">
      <alignment vertical="center"/>
      <protection/>
    </xf>
    <xf numFmtId="0" fontId="12" fillId="0" borderId="0" xfId="0" applyFont="1" applyFill="1" applyAlignment="1" quotePrefix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vertical="center" wrapText="1" shrinkToFit="1"/>
    </xf>
    <xf numFmtId="0" fontId="12" fillId="0" borderId="14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49" fontId="12" fillId="0" borderId="14" xfId="0" applyNumberFormat="1" applyFont="1" applyFill="1" applyBorder="1" applyAlignment="1" quotePrefix="1">
      <alignment vertical="center" wrapText="1" shrinkToFit="1"/>
    </xf>
    <xf numFmtId="49" fontId="5" fillId="0" borderId="14" xfId="247" applyNumberFormat="1" applyFont="1" applyFill="1" applyBorder="1" applyAlignment="1">
      <alignment vertical="center"/>
      <protection/>
    </xf>
    <xf numFmtId="49" fontId="5" fillId="0" borderId="15" xfId="247" applyNumberFormat="1" applyFont="1" applyFill="1" applyBorder="1" applyAlignment="1">
      <alignment vertical="center" wrapText="1" shrinkToFit="1"/>
      <protection/>
    </xf>
    <xf numFmtId="49" fontId="12" fillId="0" borderId="15" xfId="247" applyNumberFormat="1" applyFont="1" applyFill="1" applyBorder="1" applyAlignment="1">
      <alignment vertical="center" wrapText="1" shrinkToFit="1"/>
      <protection/>
    </xf>
    <xf numFmtId="49" fontId="12" fillId="0" borderId="14" xfId="247" applyNumberFormat="1" applyFont="1" applyFill="1" applyBorder="1" applyAlignment="1">
      <alignment vertical="center" wrapText="1" shrinkToFit="1"/>
      <protection/>
    </xf>
    <xf numFmtId="49" fontId="5" fillId="0" borderId="14" xfId="247" applyNumberFormat="1" applyFont="1" applyFill="1" applyBorder="1" applyAlignment="1">
      <alignment vertical="center" wrapText="1" shrinkToFit="1"/>
      <protection/>
    </xf>
    <xf numFmtId="49" fontId="5" fillId="0" borderId="14" xfId="245" applyNumberFormat="1" applyFont="1" applyFill="1" applyBorder="1" applyAlignment="1">
      <alignment vertical="center"/>
      <protection/>
    </xf>
    <xf numFmtId="0" fontId="12" fillId="0" borderId="14" xfId="0" applyNumberFormat="1" applyFont="1" applyFill="1" applyBorder="1" applyAlignment="1" quotePrefix="1">
      <alignment horizontal="left" vertical="center" wrapText="1" shrinkToFit="1"/>
    </xf>
    <xf numFmtId="0" fontId="12" fillId="0" borderId="14" xfId="0" applyFont="1" applyFill="1" applyBorder="1" applyAlignment="1" quotePrefix="1">
      <alignment vertical="center" wrapText="1" shrinkToFit="1"/>
    </xf>
    <xf numFmtId="49" fontId="5" fillId="0" borderId="14" xfId="269" applyNumberFormat="1" applyFont="1" applyFill="1" applyBorder="1" applyAlignment="1">
      <alignment vertical="center"/>
      <protection/>
    </xf>
    <xf numFmtId="49" fontId="5" fillId="0" borderId="14" xfId="284" applyNumberFormat="1" applyFont="1" applyFill="1" applyBorder="1" applyAlignment="1">
      <alignment vertical="center"/>
      <protection/>
    </xf>
    <xf numFmtId="49" fontId="5" fillId="0" borderId="14" xfId="270" applyNumberFormat="1" applyFont="1" applyFill="1" applyBorder="1" applyAlignment="1">
      <alignment vertical="center"/>
      <protection/>
    </xf>
    <xf numFmtId="49" fontId="12" fillId="0" borderId="14" xfId="270" applyNumberFormat="1" applyFont="1" applyFill="1" applyBorder="1" applyAlignment="1" quotePrefix="1">
      <alignment vertical="center" wrapText="1"/>
      <protection/>
    </xf>
    <xf numFmtId="49" fontId="5" fillId="0" borderId="14" xfId="263" applyNumberFormat="1" applyFont="1" applyFill="1" applyBorder="1" applyAlignment="1">
      <alignment vertical="center"/>
      <protection/>
    </xf>
    <xf numFmtId="0" fontId="12" fillId="0" borderId="14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 shrinkToFit="1"/>
    </xf>
    <xf numFmtId="4" fontId="6" fillId="0" borderId="0" xfId="118" applyNumberFormat="1" applyFont="1" applyFill="1" applyBorder="1" applyAlignment="1" applyProtection="1">
      <alignment horizontal="right" shrinkToFit="1"/>
      <protection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horizontal="right"/>
    </xf>
    <xf numFmtId="3" fontId="12" fillId="0" borderId="14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49" fontId="12" fillId="0" borderId="10" xfId="91" applyNumberFormat="1" applyFont="1" applyFill="1" applyProtection="1">
      <alignment horizontal="center" vertical="top" shrinkToFit="1"/>
      <protection/>
    </xf>
    <xf numFmtId="4" fontId="4" fillId="0" borderId="0" xfId="0" applyNumberFormat="1" applyFont="1" applyFill="1" applyAlignment="1">
      <alignment wrapText="1"/>
    </xf>
    <xf numFmtId="49" fontId="16" fillId="0" borderId="10" xfId="352" applyNumberFormat="1" applyFont="1" applyFill="1" applyBorder="1" applyAlignment="1">
      <alignment vertical="top" shrinkToFit="1"/>
      <protection/>
    </xf>
    <xf numFmtId="0" fontId="16" fillId="0" borderId="10" xfId="352" applyFont="1" applyFill="1" applyBorder="1" applyAlignment="1">
      <alignment horizontal="left" vertical="top" wrapText="1"/>
      <protection/>
    </xf>
    <xf numFmtId="4" fontId="38" fillId="0" borderId="0" xfId="0" applyNumberFormat="1" applyFont="1" applyFill="1" applyAlignment="1">
      <alignment/>
    </xf>
    <xf numFmtId="0" fontId="12" fillId="0" borderId="10" xfId="352" applyNumberFormat="1" applyFont="1" applyFill="1" applyBorder="1" applyAlignment="1">
      <alignment horizontal="left" vertical="top" wrapText="1"/>
      <protection/>
    </xf>
    <xf numFmtId="4" fontId="12" fillId="0" borderId="14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2" fillId="0" borderId="15" xfId="165" applyFont="1" applyFill="1" applyBorder="1" applyAlignment="1">
      <alignment horizontal="justify" vertical="top" wrapText="1"/>
      <protection/>
    </xf>
    <xf numFmtId="0" fontId="12" fillId="0" borderId="10" xfId="142" applyNumberFormat="1" applyFont="1" applyFill="1" applyAlignment="1" applyProtection="1">
      <alignment vertical="top" wrapText="1"/>
      <protection/>
    </xf>
    <xf numFmtId="49" fontId="12" fillId="0" borderId="10" xfId="99" applyNumberFormat="1" applyFont="1" applyFill="1" applyAlignment="1" applyProtection="1">
      <alignment horizontal="left" vertical="top" shrinkToFit="1"/>
      <protection/>
    </xf>
    <xf numFmtId="0" fontId="12" fillId="0" borderId="10" xfId="129" applyNumberFormat="1" applyFont="1" applyFill="1" applyAlignment="1" applyProtection="1">
      <alignment horizontal="left" vertical="top" wrapText="1"/>
      <protection/>
    </xf>
    <xf numFmtId="0" fontId="37" fillId="0" borderId="0" xfId="0" applyFont="1" applyFill="1" applyBorder="1" applyAlignment="1">
      <alignment/>
    </xf>
    <xf numFmtId="4" fontId="40" fillId="0" borderId="14" xfId="0" applyNumberFormat="1" applyFont="1" applyFill="1" applyBorder="1" applyAlignment="1">
      <alignment horizontal="right" vertical="center"/>
    </xf>
    <xf numFmtId="4" fontId="41" fillId="0" borderId="14" xfId="0" applyNumberFormat="1" applyFont="1" applyFill="1" applyBorder="1" applyAlignment="1">
      <alignment horizontal="right" vertical="center" shrinkToFit="1"/>
    </xf>
    <xf numFmtId="4" fontId="12" fillId="38" borderId="14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4" fontId="5" fillId="39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14" xfId="0" applyNumberFormat="1" applyFont="1" applyFill="1" applyBorder="1" applyAlignment="1">
      <alignment horizontal="center" wrapText="1" shrinkToFit="1"/>
    </xf>
    <xf numFmtId="49" fontId="12" fillId="0" borderId="16" xfId="0" applyNumberFormat="1" applyFont="1" applyFill="1" applyBorder="1" applyAlignment="1">
      <alignment horizontal="center" shrinkToFit="1"/>
    </xf>
    <xf numFmtId="49" fontId="12" fillId="0" borderId="15" xfId="247" applyNumberFormat="1" applyFont="1" applyFill="1" applyBorder="1" applyAlignment="1" quotePrefix="1">
      <alignment vertical="center" wrapText="1" shrinkToFit="1"/>
      <protection/>
    </xf>
    <xf numFmtId="49" fontId="12" fillId="0" borderId="14" xfId="255" applyNumberFormat="1" applyFont="1" applyFill="1" applyBorder="1" applyAlignment="1">
      <alignment vertical="center"/>
      <protection/>
    </xf>
    <xf numFmtId="49" fontId="5" fillId="0" borderId="14" xfId="255" applyNumberFormat="1" applyFont="1" applyFill="1" applyBorder="1" applyAlignment="1">
      <alignment vertical="center" wrapText="1"/>
      <protection/>
    </xf>
    <xf numFmtId="49" fontId="12" fillId="0" borderId="14" xfId="255" applyNumberFormat="1" applyFont="1" applyFill="1" applyBorder="1" applyAlignment="1">
      <alignment vertical="center" wrapText="1"/>
      <protection/>
    </xf>
    <xf numFmtId="4" fontId="12" fillId="0" borderId="10" xfId="145" applyFont="1" applyFill="1" applyProtection="1">
      <alignment horizontal="right" vertical="top" shrinkToFit="1"/>
      <protection/>
    </xf>
    <xf numFmtId="4" fontId="12" fillId="0" borderId="14" xfId="165" applyNumberFormat="1" applyFont="1" applyFill="1" applyBorder="1" applyAlignment="1" applyProtection="1">
      <alignment vertical="top" shrinkToFit="1"/>
      <protection locked="0"/>
    </xf>
    <xf numFmtId="4" fontId="12" fillId="0" borderId="15" xfId="165" applyNumberFormat="1" applyFont="1" applyFill="1" applyBorder="1" applyAlignment="1" applyProtection="1">
      <alignment vertical="top" shrinkToFit="1"/>
      <protection locked="0"/>
    </xf>
    <xf numFmtId="4" fontId="12" fillId="0" borderId="10" xfId="352" applyNumberFormat="1" applyFont="1" applyFill="1" applyBorder="1" applyAlignment="1">
      <alignment horizontal="right" vertical="top" shrinkToFit="1"/>
      <protection/>
    </xf>
    <xf numFmtId="4" fontId="18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4" fontId="12" fillId="0" borderId="14" xfId="0" applyNumberFormat="1" applyFont="1" applyFill="1" applyBorder="1" applyAlignment="1">
      <alignment/>
    </xf>
    <xf numFmtId="164" fontId="12" fillId="0" borderId="14" xfId="62" applyFont="1" applyFill="1" applyBorder="1" applyAlignment="1" applyProtection="1">
      <alignment horizontal="right" vertical="center"/>
      <protection locked="0"/>
    </xf>
    <xf numFmtId="4" fontId="12" fillId="0" borderId="14" xfId="62" applyNumberFormat="1" applyFont="1" applyFill="1" applyBorder="1" applyAlignment="1" applyProtection="1">
      <alignment horizontal="right" vertical="center"/>
      <protection locked="0"/>
    </xf>
    <xf numFmtId="4" fontId="12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 applyProtection="1">
      <alignment horizontal="right" shrinkToFit="1"/>
      <protection locked="0"/>
    </xf>
    <xf numFmtId="4" fontId="12" fillId="0" borderId="14" xfId="116" applyNumberFormat="1" applyFont="1" applyFill="1" applyBorder="1" applyAlignment="1" applyProtection="1">
      <alignment horizontal="right" vertical="center" shrinkToFit="1"/>
      <protection locked="0"/>
    </xf>
    <xf numFmtId="4" fontId="12" fillId="0" borderId="14" xfId="165" applyNumberFormat="1" applyFont="1" applyFill="1" applyBorder="1" applyAlignment="1" applyProtection="1">
      <alignment horizontal="right" vertical="center" shrinkToFit="1"/>
      <protection locked="0"/>
    </xf>
    <xf numFmtId="4" fontId="12" fillId="0" borderId="14" xfId="0" applyNumberFormat="1" applyFont="1" applyFill="1" applyBorder="1" applyAlignment="1">
      <alignment horizontal="right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" fontId="12" fillId="0" borderId="10" xfId="142" applyNumberFormat="1" applyFont="1" applyFill="1" applyAlignment="1" applyProtection="1">
      <alignment horizontal="right" vertical="center" shrinkToFit="1"/>
      <protection/>
    </xf>
    <xf numFmtId="0" fontId="43" fillId="0" borderId="0" xfId="0" applyFont="1" applyAlignment="1">
      <alignment/>
    </xf>
    <xf numFmtId="0" fontId="48" fillId="0" borderId="0" xfId="0" applyFont="1" applyFill="1" applyAlignment="1">
      <alignment/>
    </xf>
    <xf numFmtId="3" fontId="37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 shrinkToFit="1"/>
    </xf>
    <xf numFmtId="0" fontId="19" fillId="0" borderId="0" xfId="0" applyFont="1" applyAlignment="1">
      <alignment horizontal="center" wrapText="1" shrinkToFit="1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3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 2" xfId="21"/>
    <cellStyle name="20% — акцент2 2" xfId="22"/>
    <cellStyle name="20% — акцент3 2" xfId="23"/>
    <cellStyle name="20% — акцент4 2" xfId="24"/>
    <cellStyle name="20% — акцент5 2" xfId="25"/>
    <cellStyle name="20% —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 2" xfId="33"/>
    <cellStyle name="40% — акцент2 2" xfId="34"/>
    <cellStyle name="40% — акцент3 2" xfId="35"/>
    <cellStyle name="40% — акцент4 2" xfId="36"/>
    <cellStyle name="40% — акцент5 2" xfId="37"/>
    <cellStyle name="40% —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 2" xfId="45"/>
    <cellStyle name="60% — акцент2 2" xfId="46"/>
    <cellStyle name="60% — акцент3 2" xfId="47"/>
    <cellStyle name="60% — акцент4 2" xfId="48"/>
    <cellStyle name="60% — акцент5 2" xfId="49"/>
    <cellStyle name="60% —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style0" xfId="78"/>
    <cellStyle name="style0 2" xfId="79"/>
    <cellStyle name="td" xfId="80"/>
    <cellStyle name="td 2" xfId="81"/>
    <cellStyle name="Title" xfId="82"/>
    <cellStyle name="Total" xfId="83"/>
    <cellStyle name="tr" xfId="84"/>
    <cellStyle name="Warning Text" xfId="85"/>
    <cellStyle name="xl21" xfId="86"/>
    <cellStyle name="xl21 2" xfId="87"/>
    <cellStyle name="xl22" xfId="88"/>
    <cellStyle name="xl22 2" xfId="89"/>
    <cellStyle name="xl23" xfId="90"/>
    <cellStyle name="xl23 2" xfId="91"/>
    <cellStyle name="xl24" xfId="92"/>
    <cellStyle name="xl25" xfId="93"/>
    <cellStyle name="xl26" xfId="94"/>
    <cellStyle name="xl26 2" xfId="95"/>
    <cellStyle name="xl27" xfId="96"/>
    <cellStyle name="xl28" xfId="97"/>
    <cellStyle name="xl28 2" xfId="98"/>
    <cellStyle name="xl29" xfId="99"/>
    <cellStyle name="xl29 2" xfId="100"/>
    <cellStyle name="xl30" xfId="101"/>
    <cellStyle name="xl30 2" xfId="102"/>
    <cellStyle name="xl30 3" xfId="103"/>
    <cellStyle name="xl31" xfId="104"/>
    <cellStyle name="xl31 2" xfId="105"/>
    <cellStyle name="xl31 3" xfId="106"/>
    <cellStyle name="xl32" xfId="107"/>
    <cellStyle name="xl32 2" xfId="108"/>
    <cellStyle name="xl33" xfId="109"/>
    <cellStyle name="xl33 2" xfId="110"/>
    <cellStyle name="xl33 3" xfId="111"/>
    <cellStyle name="xl34" xfId="112"/>
    <cellStyle name="xl34 2" xfId="113"/>
    <cellStyle name="xl34 3" xfId="114"/>
    <cellStyle name="xl35" xfId="115"/>
    <cellStyle name="xl35 2" xfId="116"/>
    <cellStyle name="xl35 3" xfId="117"/>
    <cellStyle name="xl36" xfId="118"/>
    <cellStyle name="xl36 2" xfId="119"/>
    <cellStyle name="xl36 3" xfId="120"/>
    <cellStyle name="xl37" xfId="121"/>
    <cellStyle name="xl37 2" xfId="122"/>
    <cellStyle name="xl37 3" xfId="123"/>
    <cellStyle name="xl38" xfId="124"/>
    <cellStyle name="xl38 2" xfId="125"/>
    <cellStyle name="xl38 3" xfId="126"/>
    <cellStyle name="xl39" xfId="127"/>
    <cellStyle name="xl39 2" xfId="128"/>
    <cellStyle name="xl39 3" xfId="129"/>
    <cellStyle name="xl40" xfId="130"/>
    <cellStyle name="xl40 2" xfId="131"/>
    <cellStyle name="xl40 3" xfId="132"/>
    <cellStyle name="xl41" xfId="133"/>
    <cellStyle name="xl41 2" xfId="134"/>
    <cellStyle name="xl41 3" xfId="135"/>
    <cellStyle name="xl42" xfId="136"/>
    <cellStyle name="xl42 2" xfId="137"/>
    <cellStyle name="xl42 3" xfId="138"/>
    <cellStyle name="xl43" xfId="139"/>
    <cellStyle name="xl43 2" xfId="140"/>
    <cellStyle name="xl43 3" xfId="141"/>
    <cellStyle name="xl44" xfId="142"/>
    <cellStyle name="xl44 2" xfId="143"/>
    <cellStyle name="xl44 3" xfId="144"/>
    <cellStyle name="xl45" xfId="145"/>
    <cellStyle name="xl45 2" xfId="146"/>
    <cellStyle name="xl46" xfId="147"/>
    <cellStyle name="Акцент1 2" xfId="148"/>
    <cellStyle name="Акцент2 2" xfId="149"/>
    <cellStyle name="Акцент3 2" xfId="150"/>
    <cellStyle name="Акцент4 2" xfId="151"/>
    <cellStyle name="Акцент5 2" xfId="152"/>
    <cellStyle name="Акцент6 2" xfId="153"/>
    <cellStyle name="Ввод  2" xfId="154"/>
    <cellStyle name="Вывод 2" xfId="155"/>
    <cellStyle name="Вычисление 2" xfId="156"/>
    <cellStyle name="Заголовок 1 2" xfId="157"/>
    <cellStyle name="Заголовок 2 2" xfId="158"/>
    <cellStyle name="Заголовок 3 2" xfId="159"/>
    <cellStyle name="Заголовок 4 2" xfId="160"/>
    <cellStyle name="Итог 2" xfId="161"/>
    <cellStyle name="Контрольная ячейка 2" xfId="162"/>
    <cellStyle name="Название 2" xfId="163"/>
    <cellStyle name="Нейтральный 2" xfId="164"/>
    <cellStyle name="Обычный 10" xfId="165"/>
    <cellStyle name="Обычный 100" xfId="166"/>
    <cellStyle name="Обычный 101" xfId="167"/>
    <cellStyle name="Обычный 102" xfId="168"/>
    <cellStyle name="Обычный 103" xfId="169"/>
    <cellStyle name="Обычный 104" xfId="170"/>
    <cellStyle name="Обычный 105" xfId="171"/>
    <cellStyle name="Обычный 106" xfId="172"/>
    <cellStyle name="Обычный 107" xfId="173"/>
    <cellStyle name="Обычный 108" xfId="174"/>
    <cellStyle name="Обычный 109" xfId="175"/>
    <cellStyle name="Обычный 11" xfId="176"/>
    <cellStyle name="Обычный 110" xfId="177"/>
    <cellStyle name="Обычный 111" xfId="178"/>
    <cellStyle name="Обычный 112" xfId="179"/>
    <cellStyle name="Обычный 113" xfId="180"/>
    <cellStyle name="Обычный 114" xfId="181"/>
    <cellStyle name="Обычный 115" xfId="182"/>
    <cellStyle name="Обычный 116" xfId="183"/>
    <cellStyle name="Обычный 117" xfId="184"/>
    <cellStyle name="Обычный 118" xfId="185"/>
    <cellStyle name="Обычный 119" xfId="186"/>
    <cellStyle name="Обычный 12" xfId="187"/>
    <cellStyle name="Обычный 120" xfId="188"/>
    <cellStyle name="Обычный 121" xfId="189"/>
    <cellStyle name="Обычный 122" xfId="190"/>
    <cellStyle name="Обычный 123" xfId="191"/>
    <cellStyle name="Обычный 124" xfId="192"/>
    <cellStyle name="Обычный 125" xfId="193"/>
    <cellStyle name="Обычный 126" xfId="194"/>
    <cellStyle name="Обычный 127" xfId="195"/>
    <cellStyle name="Обычный 128" xfId="196"/>
    <cellStyle name="Обычный 129" xfId="197"/>
    <cellStyle name="Обычный 13" xfId="198"/>
    <cellStyle name="Обычный 130" xfId="199"/>
    <cellStyle name="Обычный 131" xfId="200"/>
    <cellStyle name="Обычный 132" xfId="201"/>
    <cellStyle name="Обычный 133" xfId="202"/>
    <cellStyle name="Обычный 134" xfId="203"/>
    <cellStyle name="Обычный 135" xfId="204"/>
    <cellStyle name="Обычный 136" xfId="205"/>
    <cellStyle name="Обычный 137" xfId="206"/>
    <cellStyle name="Обычный 138" xfId="207"/>
    <cellStyle name="Обычный 139" xfId="208"/>
    <cellStyle name="Обычный 14" xfId="209"/>
    <cellStyle name="Обычный 140" xfId="210"/>
    <cellStyle name="Обычный 141" xfId="211"/>
    <cellStyle name="Обычный 142" xfId="212"/>
    <cellStyle name="Обычный 143" xfId="213"/>
    <cellStyle name="Обычный 144" xfId="214"/>
    <cellStyle name="Обычный 145" xfId="215"/>
    <cellStyle name="Обычный 146" xfId="216"/>
    <cellStyle name="Обычный 147" xfId="217"/>
    <cellStyle name="Обычный 148" xfId="218"/>
    <cellStyle name="Обычный 149" xfId="219"/>
    <cellStyle name="Обычный 15" xfId="220"/>
    <cellStyle name="Обычный 150" xfId="221"/>
    <cellStyle name="Обычный 151" xfId="222"/>
    <cellStyle name="Обычный 152" xfId="223"/>
    <cellStyle name="Обычный 153" xfId="224"/>
    <cellStyle name="Обычный 154" xfId="225"/>
    <cellStyle name="Обычный 155" xfId="226"/>
    <cellStyle name="Обычный 156" xfId="227"/>
    <cellStyle name="Обычный 157" xfId="228"/>
    <cellStyle name="Обычный 158" xfId="229"/>
    <cellStyle name="Обычный 159" xfId="230"/>
    <cellStyle name="Обычный 16" xfId="231"/>
    <cellStyle name="Обычный 160" xfId="232"/>
    <cellStyle name="Обычный 161" xfId="233"/>
    <cellStyle name="Обычный 162" xfId="234"/>
    <cellStyle name="Обычный 163" xfId="235"/>
    <cellStyle name="Обычный 164" xfId="236"/>
    <cellStyle name="Обычный 165" xfId="237"/>
    <cellStyle name="Обычный 166" xfId="238"/>
    <cellStyle name="Обычный 167" xfId="239"/>
    <cellStyle name="Обычный 168" xfId="240"/>
    <cellStyle name="Обычный 169" xfId="241"/>
    <cellStyle name="Обычный 17" xfId="242"/>
    <cellStyle name="Обычный 170" xfId="243"/>
    <cellStyle name="Обычный 171" xfId="244"/>
    <cellStyle name="Обычный 172" xfId="245"/>
    <cellStyle name="Обычный 173" xfId="246"/>
    <cellStyle name="Обычный 174" xfId="247"/>
    <cellStyle name="Обычный 175" xfId="248"/>
    <cellStyle name="Обычный 176" xfId="249"/>
    <cellStyle name="Обычный 177" xfId="250"/>
    <cellStyle name="Обычный 178" xfId="251"/>
    <cellStyle name="Обычный 179" xfId="252"/>
    <cellStyle name="Обычный 18" xfId="253"/>
    <cellStyle name="Обычный 180" xfId="254"/>
    <cellStyle name="Обычный 181" xfId="255"/>
    <cellStyle name="Обычный 182" xfId="256"/>
    <cellStyle name="Обычный 183" xfId="257"/>
    <cellStyle name="Обычный 184" xfId="258"/>
    <cellStyle name="Обычный 185" xfId="259"/>
    <cellStyle name="Обычный 186" xfId="260"/>
    <cellStyle name="Обычный 187" xfId="261"/>
    <cellStyle name="Обычный 188" xfId="262"/>
    <cellStyle name="Обычный 189" xfId="263"/>
    <cellStyle name="Обычный 19" xfId="264"/>
    <cellStyle name="Обычный 190" xfId="265"/>
    <cellStyle name="Обычный 191" xfId="266"/>
    <cellStyle name="Обычный 192" xfId="267"/>
    <cellStyle name="Обычный 193" xfId="268"/>
    <cellStyle name="Обычный 194" xfId="269"/>
    <cellStyle name="Обычный 195" xfId="270"/>
    <cellStyle name="Обычный 196" xfId="271"/>
    <cellStyle name="Обычный 197" xfId="272"/>
    <cellStyle name="Обычный 198" xfId="273"/>
    <cellStyle name="Обычный 2" xfId="274"/>
    <cellStyle name="Обычный 20" xfId="275"/>
    <cellStyle name="Обычный 21" xfId="276"/>
    <cellStyle name="Обычный 22" xfId="277"/>
    <cellStyle name="Обычный 23" xfId="278"/>
    <cellStyle name="Обычный 24" xfId="279"/>
    <cellStyle name="Обычный 25" xfId="280"/>
    <cellStyle name="Обычный 26" xfId="281"/>
    <cellStyle name="Обычный 27" xfId="282"/>
    <cellStyle name="Обычный 28" xfId="283"/>
    <cellStyle name="Обычный 29" xfId="284"/>
    <cellStyle name="Обычный 3" xfId="285"/>
    <cellStyle name="Обычный 30" xfId="286"/>
    <cellStyle name="Обычный 31" xfId="287"/>
    <cellStyle name="Обычный 32" xfId="288"/>
    <cellStyle name="Обычный 33" xfId="289"/>
    <cellStyle name="Обычный 34" xfId="290"/>
    <cellStyle name="Обычный 35" xfId="291"/>
    <cellStyle name="Обычный 36" xfId="292"/>
    <cellStyle name="Обычный 37" xfId="293"/>
    <cellStyle name="Обычный 38" xfId="294"/>
    <cellStyle name="Обычный 39" xfId="295"/>
    <cellStyle name="Обычный 4" xfId="296"/>
    <cellStyle name="Обычный 40" xfId="297"/>
    <cellStyle name="Обычный 41" xfId="298"/>
    <cellStyle name="Обычный 42" xfId="299"/>
    <cellStyle name="Обычный 43" xfId="300"/>
    <cellStyle name="Обычный 44" xfId="301"/>
    <cellStyle name="Обычный 45" xfId="302"/>
    <cellStyle name="Обычный 46" xfId="303"/>
    <cellStyle name="Обычный 47" xfId="304"/>
    <cellStyle name="Обычный 48" xfId="305"/>
    <cellStyle name="Обычный 49" xfId="306"/>
    <cellStyle name="Обычный 5" xfId="307"/>
    <cellStyle name="Обычный 50" xfId="308"/>
    <cellStyle name="Обычный 51" xfId="309"/>
    <cellStyle name="Обычный 52" xfId="310"/>
    <cellStyle name="Обычный 53" xfId="311"/>
    <cellStyle name="Обычный 54" xfId="312"/>
    <cellStyle name="Обычный 55" xfId="313"/>
    <cellStyle name="Обычный 56" xfId="314"/>
    <cellStyle name="Обычный 57" xfId="315"/>
    <cellStyle name="Обычный 58" xfId="316"/>
    <cellStyle name="Обычный 59" xfId="317"/>
    <cellStyle name="Обычный 6" xfId="318"/>
    <cellStyle name="Обычный 60" xfId="319"/>
    <cellStyle name="Обычный 61" xfId="320"/>
    <cellStyle name="Обычный 62" xfId="321"/>
    <cellStyle name="Обычный 63" xfId="322"/>
    <cellStyle name="Обычный 64" xfId="323"/>
    <cellStyle name="Обычный 65" xfId="324"/>
    <cellStyle name="Обычный 66" xfId="325"/>
    <cellStyle name="Обычный 67" xfId="326"/>
    <cellStyle name="Обычный 68" xfId="327"/>
    <cellStyle name="Обычный 69" xfId="328"/>
    <cellStyle name="Обычный 7" xfId="329"/>
    <cellStyle name="Обычный 70" xfId="330"/>
    <cellStyle name="Обычный 71" xfId="331"/>
    <cellStyle name="Обычный 72" xfId="332"/>
    <cellStyle name="Обычный 73" xfId="333"/>
    <cellStyle name="Обычный 74" xfId="334"/>
    <cellStyle name="Обычный 75" xfId="335"/>
    <cellStyle name="Обычный 76" xfId="336"/>
    <cellStyle name="Обычный 77" xfId="337"/>
    <cellStyle name="Обычный 78" xfId="338"/>
    <cellStyle name="Обычный 79" xfId="339"/>
    <cellStyle name="Обычный 8" xfId="340"/>
    <cellStyle name="Обычный 80" xfId="341"/>
    <cellStyle name="Обычный 81" xfId="342"/>
    <cellStyle name="Обычный 82" xfId="343"/>
    <cellStyle name="Обычный 83" xfId="344"/>
    <cellStyle name="Обычный 84" xfId="345"/>
    <cellStyle name="Обычный 85" xfId="346"/>
    <cellStyle name="Обычный 86" xfId="347"/>
    <cellStyle name="Обычный 87" xfId="348"/>
    <cellStyle name="Обычный 88" xfId="349"/>
    <cellStyle name="Обычный 89" xfId="350"/>
    <cellStyle name="Обычный 9" xfId="351"/>
    <cellStyle name="Обычный 90" xfId="352"/>
    <cellStyle name="Обычный 91" xfId="353"/>
    <cellStyle name="Обычный 92" xfId="354"/>
    <cellStyle name="Обычный 93" xfId="355"/>
    <cellStyle name="Обычный 94" xfId="356"/>
    <cellStyle name="Обычный 95" xfId="357"/>
    <cellStyle name="Обычный 96" xfId="358"/>
    <cellStyle name="Обычный 97" xfId="359"/>
    <cellStyle name="Обычный 98" xfId="360"/>
    <cellStyle name="Обычный 99" xfId="361"/>
    <cellStyle name="Плохой 2" xfId="362"/>
    <cellStyle name="Пояснение 2" xfId="363"/>
    <cellStyle name="Примечание 2" xfId="364"/>
    <cellStyle name="Примечание 3" xfId="365"/>
    <cellStyle name="Процентный 2" xfId="366"/>
    <cellStyle name="Связанная ячейка 2" xfId="367"/>
    <cellStyle name="Текст предупреждения 2" xfId="368"/>
    <cellStyle name="Хороший 2" xfId="3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7;&#1096;&#1077;&#1085;&#1080;&#1103;%20&#1073;&#1102;&#1076;&#1078;&#1077;&#1090;%202021-2023\4-&#1077;%20&#1091;&#1090;&#1086;&#1095;&#1085;&#1077;&#1085;&#1080;&#1077;\&#1055;&#1088;&#1080;&#1083;&#1086;&#1078;&#1077;&#1085;&#1080;&#1077;%20&#1082;%20%20&#1073;&#1102;&#1076;&#1078;&#1077;&#1090;&#1091;%202021-2023%204%20&#1077;%20&#1091;&#1090;&#1086;&#1095;&#1085;&#1077;&#1085;&#1080;&#1077;%20&#1087;&#1086;&#1089;&#1083;&#1077;%20&#1088;&#1077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5;&#1088;&#1086;&#1077;&#1082;&#1090;%20&#1073;&#1102;&#1076;&#1078;&#1077;&#1090;&#1072;%202022-2024\&#1055;&#1088;&#1086;&#1077;&#1082;&#1090;%20&#1088;&#1077;&#1096;&#1077;&#1085;&#1080;&#1103;%20&#1074;%20&#1056;&#1072;&#1081;%20&#1089;&#1086;&#1074;&#1077;&#1090;%20&#1074;&#1086;&#1089;&#1083;&#1077;%20&#1088;&#1077;&#1076;.%20&#1082;&#1086;&#1084;&#1080;&#1089;&#1089;&#1080;&#1080;\&#1055;&#1088;&#1080;&#1083;&#1086;&#1078;&#1077;&#1085;&#1080;&#1103;%20&#1082;%20&#1087;&#1088;&#1086;&#1077;&#1082;&#1090;&#1091;%20&#1073;&#1102;&#1076;&#1078;&#1077;&#1090;&#1072;%202022-2024%20&#1087;&#1086;&#1089;&#1083;&#1077;%20&#1088;&#1077;&#1076;&#1072;&#1082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4"/>
      <sheetName val="приложение 5"/>
      <sheetName val="приложение6"/>
      <sheetName val="приложение 7"/>
      <sheetName val="приложение 8"/>
      <sheetName val="приложение 9"/>
    </sheetNames>
    <sheetDataSet>
      <sheetData sheetId="1">
        <row r="106">
          <cell r="D106">
            <v>0</v>
          </cell>
          <cell r="E106">
            <v>0</v>
          </cell>
          <cell r="F106">
            <v>0</v>
          </cell>
        </row>
      </sheetData>
      <sheetData sheetId="2">
        <row r="127">
          <cell r="F127">
            <v>0</v>
          </cell>
          <cell r="G127">
            <v>0</v>
          </cell>
          <cell r="H1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_1 "/>
      <sheetName val="Приложение_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  <sheetName val="Приложение 11"/>
      <sheetName val="Приложение 12"/>
    </sheetNames>
    <sheetDataSet>
      <sheetData sheetId="3">
        <row r="213">
          <cell r="G213">
            <v>0</v>
          </cell>
          <cell r="H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49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31.140625" style="126" bestFit="1" customWidth="1"/>
    <col min="2" max="2" width="60.00390625" style="2" customWidth="1"/>
    <col min="3" max="4" width="21.7109375" style="304" customWidth="1"/>
    <col min="5" max="5" width="22.421875" style="304" customWidth="1"/>
    <col min="6" max="6" width="9.140625" style="1" customWidth="1"/>
    <col min="7" max="7" width="19.421875" style="305" customWidth="1"/>
    <col min="8" max="8" width="14.421875" style="1" customWidth="1"/>
    <col min="9" max="9" width="19.00390625" style="27" customWidth="1"/>
    <col min="10" max="10" width="13.140625" style="1" customWidth="1"/>
    <col min="11" max="16" width="9.140625" style="1" customWidth="1"/>
    <col min="17" max="17" width="14.8515625" style="1" customWidth="1"/>
    <col min="18" max="16384" width="9.140625" style="1" customWidth="1"/>
  </cols>
  <sheetData>
    <row r="2" spans="4:5" ht="18">
      <c r="D2" s="364" t="s">
        <v>649</v>
      </c>
      <c r="E2" s="364"/>
    </row>
    <row r="3" spans="4:5" ht="18">
      <c r="D3" s="364" t="s">
        <v>17</v>
      </c>
      <c r="E3" s="364"/>
    </row>
    <row r="4" spans="4:5" ht="18">
      <c r="D4" s="364" t="s">
        <v>18</v>
      </c>
      <c r="E4" s="364"/>
    </row>
    <row r="5" spans="4:5" ht="18">
      <c r="D5" s="364" t="s">
        <v>19</v>
      </c>
      <c r="E5" s="364"/>
    </row>
    <row r="6" spans="4:5" ht="18">
      <c r="D6" s="364" t="s">
        <v>20</v>
      </c>
      <c r="E6" s="364"/>
    </row>
    <row r="7" spans="4:5" ht="18">
      <c r="D7" s="364" t="s">
        <v>784</v>
      </c>
      <c r="E7" s="364"/>
    </row>
    <row r="8" spans="4:5" ht="18">
      <c r="D8" s="364" t="s">
        <v>785</v>
      </c>
      <c r="E8" s="364"/>
    </row>
    <row r="11" spans="1:5" ht="36" customHeight="1">
      <c r="A11" s="365" t="s">
        <v>173</v>
      </c>
      <c r="B11" s="365"/>
      <c r="C11" s="365"/>
      <c r="D11" s="365"/>
      <c r="E11" s="365"/>
    </row>
    <row r="13" ht="15.75">
      <c r="E13" s="306"/>
    </row>
    <row r="14" spans="1:9" s="85" customFormat="1" ht="27" customHeight="1">
      <c r="A14" s="132" t="s">
        <v>21</v>
      </c>
      <c r="B14" s="31" t="s">
        <v>22</v>
      </c>
      <c r="C14" s="307" t="s">
        <v>23</v>
      </c>
      <c r="D14" s="307" t="s">
        <v>24</v>
      </c>
      <c r="E14" s="307" t="s">
        <v>174</v>
      </c>
      <c r="G14" s="305"/>
      <c r="I14" s="86"/>
    </row>
    <row r="15" spans="1:5" ht="16.5">
      <c r="A15" s="12" t="s">
        <v>25</v>
      </c>
      <c r="B15" s="3" t="s">
        <v>26</v>
      </c>
      <c r="C15" s="19">
        <f>SUM(C16:C20)</f>
        <v>1512500126.14</v>
      </c>
      <c r="D15" s="19">
        <f>SUM(D16:D20)</f>
        <v>1512280000</v>
      </c>
      <c r="E15" s="19">
        <f>SUM(E16:E20)</f>
        <v>1616310000</v>
      </c>
    </row>
    <row r="16" spans="1:5" ht="96" customHeight="1">
      <c r="A16" s="6" t="s">
        <v>27</v>
      </c>
      <c r="B16" s="4" t="s">
        <v>28</v>
      </c>
      <c r="C16" s="8">
        <f>1429527000+47838400+2124000+15000000</f>
        <v>1494489400</v>
      </c>
      <c r="D16" s="8">
        <v>1496075000</v>
      </c>
      <c r="E16" s="8">
        <v>1600070000</v>
      </c>
    </row>
    <row r="17" spans="1:5" ht="153">
      <c r="A17" s="6" t="s">
        <v>29</v>
      </c>
      <c r="B17" s="4" t="s">
        <v>30</v>
      </c>
      <c r="C17" s="8">
        <v>4200000</v>
      </c>
      <c r="D17" s="8">
        <v>4200000</v>
      </c>
      <c r="E17" s="8">
        <v>4200000</v>
      </c>
    </row>
    <row r="18" spans="1:5" ht="67.5">
      <c r="A18" s="6" t="s">
        <v>31</v>
      </c>
      <c r="B18" s="4" t="s">
        <v>32</v>
      </c>
      <c r="C18" s="8">
        <v>1470000</v>
      </c>
      <c r="D18" s="8">
        <v>1505000</v>
      </c>
      <c r="E18" s="8">
        <v>1540000</v>
      </c>
    </row>
    <row r="19" spans="1:8" ht="135.75">
      <c r="A19" s="6" t="s">
        <v>33</v>
      </c>
      <c r="B19" s="4" t="s">
        <v>34</v>
      </c>
      <c r="C19" s="8">
        <v>10000000</v>
      </c>
      <c r="D19" s="8">
        <v>10000000</v>
      </c>
      <c r="E19" s="8">
        <v>10000000</v>
      </c>
      <c r="H19" s="308"/>
    </row>
    <row r="20" spans="1:8" ht="118.5">
      <c r="A20" s="6" t="s">
        <v>177</v>
      </c>
      <c r="B20" s="4" t="s">
        <v>176</v>
      </c>
      <c r="C20" s="8">
        <f>500000+1840726.14</f>
        <v>2340726.1399999997</v>
      </c>
      <c r="D20" s="8">
        <v>500000</v>
      </c>
      <c r="E20" s="8">
        <v>500000</v>
      </c>
      <c r="H20" s="308"/>
    </row>
    <row r="21" spans="1:9" s="37" customFormat="1" ht="51">
      <c r="A21" s="243" t="s">
        <v>35</v>
      </c>
      <c r="B21" s="5" t="s">
        <v>36</v>
      </c>
      <c r="C21" s="19">
        <f>SUM(C22:C25)</f>
        <v>11399310</v>
      </c>
      <c r="D21" s="19">
        <f>SUM(D22:D25)</f>
        <v>12124770</v>
      </c>
      <c r="E21" s="19">
        <f>SUM(E22:E25)</f>
        <v>12530050</v>
      </c>
      <c r="G21" s="309"/>
      <c r="H21" s="38"/>
      <c r="I21" s="38"/>
    </row>
    <row r="22" spans="1:17" ht="45" customHeight="1">
      <c r="A22" s="6" t="s">
        <v>37</v>
      </c>
      <c r="B22" s="4" t="s">
        <v>38</v>
      </c>
      <c r="C22" s="343">
        <f>4781490+372490</f>
        <v>5153980</v>
      </c>
      <c r="D22" s="343">
        <f>4781490+643100</f>
        <v>5424590</v>
      </c>
      <c r="E22" s="343">
        <f>4781490+735330</f>
        <v>5516820</v>
      </c>
      <c r="H22" s="308"/>
      <c r="Q22" s="310"/>
    </row>
    <row r="23" spans="1:17" ht="84.75">
      <c r="A23" s="6" t="s">
        <v>39</v>
      </c>
      <c r="B23" s="4" t="s">
        <v>40</v>
      </c>
      <c r="C23" s="343">
        <f>27250+1280</f>
        <v>28530</v>
      </c>
      <c r="D23" s="343">
        <f>27250+3140</f>
        <v>30390</v>
      </c>
      <c r="E23" s="343">
        <f>27250+4630</f>
        <v>31880</v>
      </c>
      <c r="H23" s="308"/>
      <c r="Q23" s="310"/>
    </row>
    <row r="24" spans="1:17" ht="84.75">
      <c r="A24" s="6" t="s">
        <v>41</v>
      </c>
      <c r="B24" s="4" t="s">
        <v>42</v>
      </c>
      <c r="C24" s="343">
        <f>6289770+573310</f>
        <v>6863080</v>
      </c>
      <c r="D24" s="343">
        <f>6289770+1052200</f>
        <v>7341970</v>
      </c>
      <c r="E24" s="343">
        <f>6289770+1399570</f>
        <v>7689340</v>
      </c>
      <c r="H24" s="308"/>
      <c r="Q24" s="310"/>
    </row>
    <row r="25" spans="1:17" ht="84.75">
      <c r="A25" s="6" t="s">
        <v>43</v>
      </c>
      <c r="B25" s="4" t="s">
        <v>44</v>
      </c>
      <c r="C25" s="343">
        <f>-685040+38760</f>
        <v>-646280</v>
      </c>
      <c r="D25" s="343">
        <f>-685040+12860</f>
        <v>-672180</v>
      </c>
      <c r="E25" s="343">
        <f>-685040-22950</f>
        <v>-707990</v>
      </c>
      <c r="H25" s="308"/>
      <c r="Q25" s="310"/>
    </row>
    <row r="26" spans="1:5" ht="16.5">
      <c r="A26" s="12" t="s">
        <v>45</v>
      </c>
      <c r="B26" s="3" t="s">
        <v>46</v>
      </c>
      <c r="C26" s="19">
        <f>C27+C31+C32</f>
        <v>169814500</v>
      </c>
      <c r="D26" s="19">
        <f>D27+D31+D32</f>
        <v>148536390</v>
      </c>
      <c r="E26" s="19">
        <f>E27+E31+E32</f>
        <v>152439980</v>
      </c>
    </row>
    <row r="27" spans="1:5" ht="33.75">
      <c r="A27" s="13" t="s">
        <v>47</v>
      </c>
      <c r="B27" s="7" t="s">
        <v>48</v>
      </c>
      <c r="C27" s="8">
        <f>SUM(C28:C30)</f>
        <v>151925800</v>
      </c>
      <c r="D27" s="8">
        <f>SUM(D28:D30)</f>
        <v>130119690</v>
      </c>
      <c r="E27" s="8">
        <f>SUM(E28:E30)</f>
        <v>134023280</v>
      </c>
    </row>
    <row r="28" spans="1:5" ht="51">
      <c r="A28" s="6" t="s">
        <v>49</v>
      </c>
      <c r="B28" s="4" t="s">
        <v>50</v>
      </c>
      <c r="C28" s="344">
        <f>91897000-2225160</f>
        <v>89671840</v>
      </c>
      <c r="D28" s="344">
        <f>94654000-2292000</f>
        <v>92362000</v>
      </c>
      <c r="E28" s="344">
        <f>97493000-2360150</f>
        <v>95132850</v>
      </c>
    </row>
    <row r="29" spans="1:5" ht="88.5" customHeight="1">
      <c r="A29" s="244" t="s">
        <v>51</v>
      </c>
      <c r="B29" s="9" t="s">
        <v>52</v>
      </c>
      <c r="C29" s="345">
        <f>38380000-1722040+25596000</f>
        <v>62253960</v>
      </c>
      <c r="D29" s="345">
        <f>39500000-1742310</f>
        <v>37757690</v>
      </c>
      <c r="E29" s="345">
        <f>40685000-1794570</f>
        <v>38890430</v>
      </c>
    </row>
    <row r="30" spans="1:5" ht="33.75">
      <c r="A30" s="244" t="s">
        <v>178</v>
      </c>
      <c r="B30" s="325" t="s">
        <v>179</v>
      </c>
      <c r="C30" s="345">
        <f>5000-5000</f>
        <v>0</v>
      </c>
      <c r="D30" s="345">
        <f>5000-5000</f>
        <v>0</v>
      </c>
      <c r="E30" s="345">
        <f>5000-5000</f>
        <v>0</v>
      </c>
    </row>
    <row r="31" spans="1:5" ht="33.75">
      <c r="A31" s="6" t="s">
        <v>53</v>
      </c>
      <c r="B31" s="4" t="s">
        <v>54</v>
      </c>
      <c r="C31" s="8">
        <v>276700</v>
      </c>
      <c r="D31" s="8">
        <v>276700</v>
      </c>
      <c r="E31" s="8">
        <v>276700</v>
      </c>
    </row>
    <row r="32" spans="1:5" ht="84.75">
      <c r="A32" s="6" t="s">
        <v>55</v>
      </c>
      <c r="B32" s="4" t="s">
        <v>56</v>
      </c>
      <c r="C32" s="8">
        <v>17612000</v>
      </c>
      <c r="D32" s="8">
        <v>18140000</v>
      </c>
      <c r="E32" s="8">
        <v>18140000</v>
      </c>
    </row>
    <row r="33" spans="1:5" ht="16.5">
      <c r="A33" s="243" t="s">
        <v>57</v>
      </c>
      <c r="B33" s="5" t="s">
        <v>58</v>
      </c>
      <c r="C33" s="19">
        <f>C34+C35</f>
        <v>178000</v>
      </c>
      <c r="D33" s="19">
        <f>D34+D35</f>
        <v>178000</v>
      </c>
      <c r="E33" s="19">
        <f>E34+E35</f>
        <v>178000</v>
      </c>
    </row>
    <row r="34" spans="1:5" ht="67.5">
      <c r="A34" s="311" t="s">
        <v>59</v>
      </c>
      <c r="B34" s="4" t="s">
        <v>60</v>
      </c>
      <c r="C34" s="8">
        <v>145000</v>
      </c>
      <c r="D34" s="8">
        <v>145000</v>
      </c>
      <c r="E34" s="8">
        <v>145000</v>
      </c>
    </row>
    <row r="35" spans="1:5" ht="67.5">
      <c r="A35" s="311" t="s">
        <v>61</v>
      </c>
      <c r="B35" s="4" t="s">
        <v>62</v>
      </c>
      <c r="C35" s="8">
        <v>33000</v>
      </c>
      <c r="D35" s="8">
        <v>33000</v>
      </c>
      <c r="E35" s="8">
        <v>33000</v>
      </c>
    </row>
    <row r="36" spans="1:5" ht="33.75">
      <c r="A36" s="12" t="s">
        <v>63</v>
      </c>
      <c r="B36" s="3" t="s">
        <v>64</v>
      </c>
      <c r="C36" s="19">
        <f>C37</f>
        <v>34496000</v>
      </c>
      <c r="D36" s="19">
        <f>D37</f>
        <v>37523000</v>
      </c>
      <c r="E36" s="19">
        <f>E37</f>
        <v>38904000</v>
      </c>
    </row>
    <row r="37" spans="1:5" ht="51">
      <c r="A37" s="6" t="s">
        <v>65</v>
      </c>
      <c r="B37" s="4" t="s">
        <v>66</v>
      </c>
      <c r="C37" s="8">
        <v>34496000</v>
      </c>
      <c r="D37" s="8">
        <v>37523000</v>
      </c>
      <c r="E37" s="8">
        <v>38904000</v>
      </c>
    </row>
    <row r="38" spans="1:5" ht="16.5">
      <c r="A38" s="12" t="s">
        <v>67</v>
      </c>
      <c r="B38" s="3" t="s">
        <v>68</v>
      </c>
      <c r="C38" s="19">
        <f>C39+C40</f>
        <v>9250000</v>
      </c>
      <c r="D38" s="19">
        <f>D39+D40</f>
        <v>9450000</v>
      </c>
      <c r="E38" s="19">
        <f>E39+E40</f>
        <v>9650000</v>
      </c>
    </row>
    <row r="39" spans="1:5" ht="84.75">
      <c r="A39" s="6" t="s">
        <v>69</v>
      </c>
      <c r="B39" s="4" t="s">
        <v>70</v>
      </c>
      <c r="C39" s="8">
        <v>9200000</v>
      </c>
      <c r="D39" s="8">
        <v>9400000</v>
      </c>
      <c r="E39" s="8">
        <v>9600000</v>
      </c>
    </row>
    <row r="40" spans="1:5" ht="51">
      <c r="A40" s="6" t="s">
        <v>71</v>
      </c>
      <c r="B40" s="4" t="s">
        <v>1</v>
      </c>
      <c r="C40" s="8">
        <v>50000</v>
      </c>
      <c r="D40" s="8">
        <v>50000</v>
      </c>
      <c r="E40" s="8">
        <v>50000</v>
      </c>
    </row>
    <row r="41" spans="1:6" ht="67.5">
      <c r="A41" s="12" t="s">
        <v>72</v>
      </c>
      <c r="B41" s="3" t="s">
        <v>73</v>
      </c>
      <c r="C41" s="19">
        <f>C42+C43</f>
        <v>399864000</v>
      </c>
      <c r="D41" s="19">
        <f>D42+D43</f>
        <v>399933000</v>
      </c>
      <c r="E41" s="19">
        <f>E42+E43</f>
        <v>399933000</v>
      </c>
      <c r="F41" s="27"/>
    </row>
    <row r="42" spans="1:5" ht="102">
      <c r="A42" s="6" t="s">
        <v>74</v>
      </c>
      <c r="B42" s="4" t="s">
        <v>75</v>
      </c>
      <c r="C42" s="8">
        <v>358600000</v>
      </c>
      <c r="D42" s="8">
        <v>358600000</v>
      </c>
      <c r="E42" s="8">
        <v>358600000</v>
      </c>
    </row>
    <row r="43" spans="1:5" ht="135.75">
      <c r="A43" s="12" t="s">
        <v>76</v>
      </c>
      <c r="B43" s="3" t="s">
        <v>77</v>
      </c>
      <c r="C43" s="19">
        <f>C44+C45+C46+C48+C47</f>
        <v>41264000</v>
      </c>
      <c r="D43" s="19">
        <f>D44+D45+D46+D48+D47</f>
        <v>41333000</v>
      </c>
      <c r="E43" s="19">
        <f>E44+E45+E46+E48+E47</f>
        <v>41333000</v>
      </c>
    </row>
    <row r="44" spans="1:5" ht="116.25" customHeight="1">
      <c r="A44" s="6" t="s">
        <v>78</v>
      </c>
      <c r="B44" s="4" t="s">
        <v>2</v>
      </c>
      <c r="C44" s="8">
        <v>2729000</v>
      </c>
      <c r="D44" s="8">
        <v>2798000</v>
      </c>
      <c r="E44" s="8">
        <v>2798000</v>
      </c>
    </row>
    <row r="45" spans="1:5" ht="135.75">
      <c r="A45" s="6" t="s">
        <v>79</v>
      </c>
      <c r="B45" s="4" t="s">
        <v>80</v>
      </c>
      <c r="C45" s="8">
        <v>34959000</v>
      </c>
      <c r="D45" s="8">
        <v>34959000</v>
      </c>
      <c r="E45" s="8">
        <v>34959000</v>
      </c>
    </row>
    <row r="46" spans="1:5" ht="92.25" customHeight="1">
      <c r="A46" s="6" t="s">
        <v>81</v>
      </c>
      <c r="B46" s="4" t="s">
        <v>82</v>
      </c>
      <c r="C46" s="8">
        <v>506000</v>
      </c>
      <c r="D46" s="8">
        <v>506000</v>
      </c>
      <c r="E46" s="8">
        <v>506000</v>
      </c>
    </row>
    <row r="47" spans="1:5" ht="102">
      <c r="A47" s="6" t="s">
        <v>83</v>
      </c>
      <c r="B47" s="4" t="s">
        <v>84</v>
      </c>
      <c r="C47" s="8">
        <v>70000</v>
      </c>
      <c r="D47" s="8">
        <v>70000</v>
      </c>
      <c r="E47" s="8">
        <v>70000</v>
      </c>
    </row>
    <row r="48" spans="1:5" ht="67.5">
      <c r="A48" s="6" t="s">
        <v>85</v>
      </c>
      <c r="B48" s="4" t="s">
        <v>86</v>
      </c>
      <c r="C48" s="8">
        <v>3000000</v>
      </c>
      <c r="D48" s="8">
        <v>3000000</v>
      </c>
      <c r="E48" s="8">
        <v>3000000</v>
      </c>
    </row>
    <row r="49" spans="1:9" ht="33.75">
      <c r="A49" s="12" t="s">
        <v>87</v>
      </c>
      <c r="B49" s="3" t="s">
        <v>88</v>
      </c>
      <c r="C49" s="19">
        <f>SUM(C50:C54)</f>
        <v>19150700</v>
      </c>
      <c r="D49" s="19">
        <f>SUM(D50:D54)</f>
        <v>16378200</v>
      </c>
      <c r="E49" s="19">
        <f>SUM(E50:E54)</f>
        <v>17030800</v>
      </c>
      <c r="I49" s="312"/>
    </row>
    <row r="50" spans="1:9" ht="51">
      <c r="A50" s="6" t="s">
        <v>180</v>
      </c>
      <c r="B50" s="4" t="s">
        <v>89</v>
      </c>
      <c r="C50" s="8">
        <f>1319200+134400</f>
        <v>1453600</v>
      </c>
      <c r="D50" s="8">
        <f>1319200+192600</f>
        <v>1511800</v>
      </c>
      <c r="E50" s="8">
        <f>1319200+253100</f>
        <v>1572300</v>
      </c>
      <c r="I50" s="312"/>
    </row>
    <row r="51" spans="1:9" ht="33.75">
      <c r="A51" s="6" t="s">
        <v>181</v>
      </c>
      <c r="B51" s="4" t="s">
        <v>90</v>
      </c>
      <c r="C51" s="8">
        <f>29600+11000</f>
        <v>40600</v>
      </c>
      <c r="D51" s="8">
        <f>29600+12600</f>
        <v>42200</v>
      </c>
      <c r="E51" s="8">
        <f>29600+14300</f>
        <v>43900</v>
      </c>
      <c r="I51" s="312"/>
    </row>
    <row r="52" spans="1:9" ht="37.5" customHeight="1">
      <c r="A52" s="6" t="s">
        <v>182</v>
      </c>
      <c r="B52" s="4" t="s">
        <v>91</v>
      </c>
      <c r="C52" s="8">
        <f>5071800+9121200</f>
        <v>14193000</v>
      </c>
      <c r="D52" s="8">
        <f>5071800+9688900</f>
        <v>14760700</v>
      </c>
      <c r="E52" s="8">
        <f>5071800+10279300</f>
        <v>15351100</v>
      </c>
      <c r="I52" s="312"/>
    </row>
    <row r="53" spans="1:9" ht="24" customHeight="1">
      <c r="A53" s="6" t="s">
        <v>183</v>
      </c>
      <c r="B53" s="4" t="s">
        <v>171</v>
      </c>
      <c r="C53" s="8">
        <v>0</v>
      </c>
      <c r="D53" s="8">
        <v>0</v>
      </c>
      <c r="E53" s="8">
        <v>0</v>
      </c>
      <c r="I53" s="312"/>
    </row>
    <row r="54" spans="1:9" ht="51">
      <c r="A54" s="6" t="s">
        <v>184</v>
      </c>
      <c r="B54" s="326" t="s">
        <v>170</v>
      </c>
      <c r="C54" s="8">
        <f>63500+3400000</f>
        <v>3463500</v>
      </c>
      <c r="D54" s="8">
        <v>63500</v>
      </c>
      <c r="E54" s="8">
        <v>63500</v>
      </c>
      <c r="I54" s="312"/>
    </row>
    <row r="55" spans="1:9" ht="33.75">
      <c r="A55" s="12" t="s">
        <v>92</v>
      </c>
      <c r="B55" s="3" t="s">
        <v>762</v>
      </c>
      <c r="C55" s="19">
        <f>C56+C80</f>
        <v>79345395.65</v>
      </c>
      <c r="D55" s="19">
        <f>D56</f>
        <v>57584640</v>
      </c>
      <c r="E55" s="19">
        <f>E56</f>
        <v>57584640</v>
      </c>
      <c r="I55" s="312"/>
    </row>
    <row r="56" spans="1:9" ht="33.75">
      <c r="A56" s="12" t="s">
        <v>93</v>
      </c>
      <c r="B56" s="3" t="s">
        <v>94</v>
      </c>
      <c r="C56" s="19">
        <f>SUM(C57:C79)</f>
        <v>58669696</v>
      </c>
      <c r="D56" s="19">
        <f>SUM(D57:D79)</f>
        <v>57584640</v>
      </c>
      <c r="E56" s="19">
        <f>SUM(E57:E79)</f>
        <v>57584640</v>
      </c>
      <c r="I56" s="312"/>
    </row>
    <row r="57" spans="1:9" ht="67.5">
      <c r="A57" s="6" t="s">
        <v>95</v>
      </c>
      <c r="B57" s="10" t="s">
        <v>96</v>
      </c>
      <c r="C57" s="8">
        <v>100800</v>
      </c>
      <c r="D57" s="8">
        <v>100800</v>
      </c>
      <c r="E57" s="8">
        <v>100800</v>
      </c>
      <c r="I57" s="312"/>
    </row>
    <row r="58" spans="1:9" ht="51">
      <c r="A58" s="6" t="s">
        <v>97</v>
      </c>
      <c r="B58" s="10" t="s">
        <v>98</v>
      </c>
      <c r="C58" s="8">
        <v>72000</v>
      </c>
      <c r="D58" s="8">
        <v>72000</v>
      </c>
      <c r="E58" s="8">
        <v>72000</v>
      </c>
      <c r="I58" s="312"/>
    </row>
    <row r="59" spans="1:9" ht="51">
      <c r="A59" s="6" t="s">
        <v>99</v>
      </c>
      <c r="B59" s="4" t="s">
        <v>100</v>
      </c>
      <c r="C59" s="8">
        <v>4327680</v>
      </c>
      <c r="D59" s="8">
        <v>4327680</v>
      </c>
      <c r="E59" s="8">
        <v>4327680</v>
      </c>
      <c r="I59" s="312"/>
    </row>
    <row r="60" spans="1:9" ht="51">
      <c r="A60" s="6" t="s">
        <v>175</v>
      </c>
      <c r="B60" s="23" t="s">
        <v>172</v>
      </c>
      <c r="C60" s="8">
        <v>11000000</v>
      </c>
      <c r="D60" s="8">
        <v>11000000</v>
      </c>
      <c r="E60" s="8">
        <v>11000000</v>
      </c>
      <c r="I60" s="312"/>
    </row>
    <row r="61" spans="1:9" ht="51">
      <c r="A61" s="6" t="s">
        <v>101</v>
      </c>
      <c r="B61" s="10" t="s">
        <v>102</v>
      </c>
      <c r="C61" s="8">
        <v>72000</v>
      </c>
      <c r="D61" s="8">
        <v>72000</v>
      </c>
      <c r="E61" s="8">
        <v>72000</v>
      </c>
      <c r="I61" s="312"/>
    </row>
    <row r="62" spans="1:9" ht="51">
      <c r="A62" s="6" t="s">
        <v>103</v>
      </c>
      <c r="B62" s="10" t="s">
        <v>104</v>
      </c>
      <c r="C62" s="8">
        <v>21600</v>
      </c>
      <c r="D62" s="8">
        <v>21600</v>
      </c>
      <c r="E62" s="8">
        <v>21600</v>
      </c>
      <c r="I62" s="312"/>
    </row>
    <row r="63" spans="1:9" ht="51">
      <c r="A63" s="6" t="s">
        <v>105</v>
      </c>
      <c r="B63" s="4" t="s">
        <v>106</v>
      </c>
      <c r="C63" s="8">
        <v>3705600</v>
      </c>
      <c r="D63" s="8">
        <v>3705600</v>
      </c>
      <c r="E63" s="8">
        <v>3705600</v>
      </c>
      <c r="I63" s="312"/>
    </row>
    <row r="64" spans="1:9" ht="67.5">
      <c r="A64" s="6" t="s">
        <v>107</v>
      </c>
      <c r="B64" s="4" t="s">
        <v>4</v>
      </c>
      <c r="C64" s="8">
        <v>168480</v>
      </c>
      <c r="D64" s="8">
        <v>168480</v>
      </c>
      <c r="E64" s="8">
        <v>168480</v>
      </c>
      <c r="I64" s="312"/>
    </row>
    <row r="65" spans="1:9" ht="67.5">
      <c r="A65" s="6" t="s">
        <v>108</v>
      </c>
      <c r="B65" s="4" t="s">
        <v>5</v>
      </c>
      <c r="C65" s="8">
        <v>113040</v>
      </c>
      <c r="D65" s="8">
        <v>113040</v>
      </c>
      <c r="E65" s="8">
        <v>113040</v>
      </c>
      <c r="I65" s="312"/>
    </row>
    <row r="66" spans="1:9" ht="67.5">
      <c r="A66" s="6" t="s">
        <v>109</v>
      </c>
      <c r="B66" s="4" t="s">
        <v>6</v>
      </c>
      <c r="C66" s="8">
        <v>115200</v>
      </c>
      <c r="D66" s="8">
        <v>115200</v>
      </c>
      <c r="E66" s="8">
        <v>115200</v>
      </c>
      <c r="I66" s="312"/>
    </row>
    <row r="67" spans="1:9" ht="51">
      <c r="A67" s="6" t="s">
        <v>110</v>
      </c>
      <c r="B67" s="4" t="s">
        <v>7</v>
      </c>
      <c r="C67" s="8">
        <v>630000</v>
      </c>
      <c r="D67" s="8">
        <v>630000</v>
      </c>
      <c r="E67" s="8">
        <v>630000</v>
      </c>
      <c r="I67" s="312"/>
    </row>
    <row r="68" spans="1:9" ht="51">
      <c r="A68" s="6" t="s">
        <v>111</v>
      </c>
      <c r="B68" s="4" t="s">
        <v>112</v>
      </c>
      <c r="C68" s="8">
        <f>5468160+578509</f>
        <v>6046669</v>
      </c>
      <c r="D68" s="8">
        <v>5468160</v>
      </c>
      <c r="E68" s="8">
        <v>5468160</v>
      </c>
      <c r="I68" s="312"/>
    </row>
    <row r="69" spans="1:9" ht="51">
      <c r="A69" s="6" t="s">
        <v>113</v>
      </c>
      <c r="B69" s="4" t="s">
        <v>114</v>
      </c>
      <c r="C69" s="8">
        <v>4131840</v>
      </c>
      <c r="D69" s="8">
        <v>4131840</v>
      </c>
      <c r="E69" s="8">
        <v>4131840</v>
      </c>
      <c r="I69" s="312"/>
    </row>
    <row r="70" spans="1:9" ht="51">
      <c r="A70" s="6" t="s">
        <v>752</v>
      </c>
      <c r="B70" s="4" t="s">
        <v>751</v>
      </c>
      <c r="C70" s="8">
        <v>506547</v>
      </c>
      <c r="D70" s="8"/>
      <c r="E70" s="8"/>
      <c r="I70" s="312"/>
    </row>
    <row r="71" spans="1:9" ht="51">
      <c r="A71" s="6" t="s">
        <v>115</v>
      </c>
      <c r="B71" s="4" t="s">
        <v>116</v>
      </c>
      <c r="C71" s="8">
        <v>1477120</v>
      </c>
      <c r="D71" s="8">
        <v>1477120</v>
      </c>
      <c r="E71" s="8">
        <v>1477120</v>
      </c>
      <c r="I71" s="312"/>
    </row>
    <row r="72" spans="1:9" ht="67.5">
      <c r="A72" s="6" t="s">
        <v>117</v>
      </c>
      <c r="B72" s="4" t="s">
        <v>3</v>
      </c>
      <c r="C72" s="8">
        <v>384960</v>
      </c>
      <c r="D72" s="8">
        <v>384960</v>
      </c>
      <c r="E72" s="8">
        <v>384960</v>
      </c>
      <c r="I72" s="312"/>
    </row>
    <row r="73" spans="1:9" ht="51">
      <c r="A73" s="6" t="s">
        <v>118</v>
      </c>
      <c r="B73" s="4" t="s">
        <v>119</v>
      </c>
      <c r="C73" s="8">
        <v>5015040</v>
      </c>
      <c r="D73" s="8">
        <v>5015040</v>
      </c>
      <c r="E73" s="8">
        <v>5015040</v>
      </c>
      <c r="I73" s="312"/>
    </row>
    <row r="74" spans="1:9" ht="51">
      <c r="A74" s="6" t="s">
        <v>120</v>
      </c>
      <c r="B74" s="4" t="s">
        <v>121</v>
      </c>
      <c r="C74" s="8">
        <v>2152960</v>
      </c>
      <c r="D74" s="8">
        <v>2152960</v>
      </c>
      <c r="E74" s="8">
        <v>2152960</v>
      </c>
      <c r="I74" s="312"/>
    </row>
    <row r="75" spans="1:9" ht="51">
      <c r="A75" s="6" t="s">
        <v>122</v>
      </c>
      <c r="B75" s="4" t="s">
        <v>123</v>
      </c>
      <c r="C75" s="8">
        <v>5309440</v>
      </c>
      <c r="D75" s="8">
        <v>5309440</v>
      </c>
      <c r="E75" s="8">
        <v>5309440</v>
      </c>
      <c r="I75" s="312"/>
    </row>
    <row r="76" spans="1:9" ht="51">
      <c r="A76" s="6" t="s">
        <v>124</v>
      </c>
      <c r="B76" s="4" t="s">
        <v>125</v>
      </c>
      <c r="C76" s="8">
        <f>2240000+2268160</f>
        <v>4508160</v>
      </c>
      <c r="D76" s="8">
        <f>2240000+2268160</f>
        <v>4508160</v>
      </c>
      <c r="E76" s="8">
        <f>2240000+2268160</f>
        <v>4508160</v>
      </c>
      <c r="I76" s="312"/>
    </row>
    <row r="77" spans="1:9" ht="51">
      <c r="A77" s="6" t="s">
        <v>126</v>
      </c>
      <c r="B77" s="4" t="s">
        <v>8</v>
      </c>
      <c r="C77" s="8">
        <v>505920</v>
      </c>
      <c r="D77" s="8">
        <v>505920</v>
      </c>
      <c r="E77" s="8">
        <v>505920</v>
      </c>
      <c r="I77" s="312"/>
    </row>
    <row r="78" spans="1:9" ht="51">
      <c r="A78" s="6" t="s">
        <v>127</v>
      </c>
      <c r="B78" s="4" t="s">
        <v>128</v>
      </c>
      <c r="C78" s="8">
        <v>3517440</v>
      </c>
      <c r="D78" s="8">
        <v>3517440</v>
      </c>
      <c r="E78" s="8">
        <v>3517440</v>
      </c>
      <c r="I78" s="312"/>
    </row>
    <row r="79" spans="1:9" ht="51">
      <c r="A79" s="6" t="s">
        <v>129</v>
      </c>
      <c r="B79" s="4" t="s">
        <v>130</v>
      </c>
      <c r="C79" s="8">
        <v>4787200</v>
      </c>
      <c r="D79" s="8">
        <v>4787200</v>
      </c>
      <c r="E79" s="8">
        <v>4787200</v>
      </c>
      <c r="I79" s="312"/>
    </row>
    <row r="80" spans="1:9" ht="33.75">
      <c r="A80" s="6" t="s">
        <v>737</v>
      </c>
      <c r="B80" s="4" t="s">
        <v>738</v>
      </c>
      <c r="C80" s="8">
        <f>3522671.65+8291400+203768+3654360+3500+5000000</f>
        <v>20675699.65</v>
      </c>
      <c r="D80" s="8">
        <v>0</v>
      </c>
      <c r="E80" s="8">
        <v>0</v>
      </c>
      <c r="I80" s="312"/>
    </row>
    <row r="81" spans="1:5" ht="51">
      <c r="A81" s="12" t="s">
        <v>764</v>
      </c>
      <c r="B81" s="3" t="s">
        <v>131</v>
      </c>
      <c r="C81" s="19">
        <f>C82+C84</f>
        <v>3770000</v>
      </c>
      <c r="D81" s="19">
        <f>D82+D84</f>
        <v>2680000</v>
      </c>
      <c r="E81" s="19">
        <f>E82+E84</f>
        <v>2680000</v>
      </c>
    </row>
    <row r="82" spans="1:5" ht="118.5">
      <c r="A82" s="12" t="s">
        <v>132</v>
      </c>
      <c r="B82" s="3" t="s">
        <v>133</v>
      </c>
      <c r="C82" s="19">
        <f>C83</f>
        <v>1500000</v>
      </c>
      <c r="D82" s="19">
        <f>D83</f>
        <v>1500000</v>
      </c>
      <c r="E82" s="19">
        <f>E83</f>
        <v>1500000</v>
      </c>
    </row>
    <row r="83" spans="1:5" ht="120.75" customHeight="1">
      <c r="A83" s="327" t="s">
        <v>185</v>
      </c>
      <c r="B83" s="328" t="s">
        <v>9</v>
      </c>
      <c r="C83" s="8">
        <v>1500000</v>
      </c>
      <c r="D83" s="8">
        <v>1500000</v>
      </c>
      <c r="E83" s="8">
        <v>1500000</v>
      </c>
    </row>
    <row r="84" spans="1:5" ht="51">
      <c r="A84" s="243" t="s">
        <v>767</v>
      </c>
      <c r="B84" s="3" t="s">
        <v>134</v>
      </c>
      <c r="C84" s="19">
        <f>C85+C86</f>
        <v>2270000</v>
      </c>
      <c r="D84" s="19">
        <f>D85+D86</f>
        <v>1180000</v>
      </c>
      <c r="E84" s="19">
        <f>E85+E86</f>
        <v>1180000</v>
      </c>
    </row>
    <row r="85" spans="1:5" ht="102">
      <c r="A85" s="6" t="s">
        <v>766</v>
      </c>
      <c r="B85" s="4" t="s">
        <v>10</v>
      </c>
      <c r="C85" s="8">
        <v>100000</v>
      </c>
      <c r="D85" s="8">
        <v>100000</v>
      </c>
      <c r="E85" s="8">
        <v>100000</v>
      </c>
    </row>
    <row r="86" spans="1:5" ht="67.5">
      <c r="A86" s="6" t="s">
        <v>765</v>
      </c>
      <c r="B86" s="4" t="s">
        <v>11</v>
      </c>
      <c r="C86" s="8">
        <f>1080000+1090000</f>
        <v>2170000</v>
      </c>
      <c r="D86" s="8">
        <v>1080000</v>
      </c>
      <c r="E86" s="8">
        <v>1080000</v>
      </c>
    </row>
    <row r="87" spans="1:9" s="37" customFormat="1" ht="16.5">
      <c r="A87" s="243" t="s">
        <v>771</v>
      </c>
      <c r="B87" s="5" t="s">
        <v>763</v>
      </c>
      <c r="C87" s="19">
        <f>C88+C89</f>
        <v>2330000</v>
      </c>
      <c r="D87" s="19">
        <f>D88+D89</f>
        <v>0</v>
      </c>
      <c r="E87" s="19">
        <f>E88+E89</f>
        <v>0</v>
      </c>
      <c r="G87" s="309"/>
      <c r="I87" s="38"/>
    </row>
    <row r="88" spans="1:5" ht="84.75">
      <c r="A88" s="6" t="s">
        <v>770</v>
      </c>
      <c r="B88" s="4" t="s">
        <v>769</v>
      </c>
      <c r="C88" s="8">
        <v>1700000</v>
      </c>
      <c r="D88" s="8">
        <v>0</v>
      </c>
      <c r="E88" s="8">
        <v>0</v>
      </c>
    </row>
    <row r="89" spans="1:5" ht="84.75">
      <c r="A89" s="6" t="s">
        <v>772</v>
      </c>
      <c r="B89" s="4" t="s">
        <v>768</v>
      </c>
      <c r="C89" s="8">
        <v>630000</v>
      </c>
      <c r="D89" s="8">
        <v>0</v>
      </c>
      <c r="E89" s="8">
        <v>0</v>
      </c>
    </row>
    <row r="90" spans="1:5" ht="16.5">
      <c r="A90" s="243" t="s">
        <v>135</v>
      </c>
      <c r="B90" s="5" t="s">
        <v>136</v>
      </c>
      <c r="C90" s="19">
        <f>C91</f>
        <v>200000</v>
      </c>
      <c r="D90" s="19">
        <f>D91</f>
        <v>200000</v>
      </c>
      <c r="E90" s="19">
        <f>E91</f>
        <v>200000</v>
      </c>
    </row>
    <row r="91" spans="1:5" ht="33.75">
      <c r="A91" s="6" t="s">
        <v>137</v>
      </c>
      <c r="B91" s="4" t="s">
        <v>12</v>
      </c>
      <c r="C91" s="8">
        <v>200000</v>
      </c>
      <c r="D91" s="8">
        <v>200000</v>
      </c>
      <c r="E91" s="8">
        <v>200000</v>
      </c>
    </row>
    <row r="92" spans="1:5" ht="16.5">
      <c r="A92" s="6"/>
      <c r="B92" s="11" t="s">
        <v>138</v>
      </c>
      <c r="C92" s="19">
        <f>C90+C81+C55+C49+C33+C41+C38+C36+C26+C15+C21+C87</f>
        <v>2242298031.79</v>
      </c>
      <c r="D92" s="19">
        <f>D90+D81+D55+D49+D33+D41+D38+D36+D26+D15+D21+D87</f>
        <v>2196868000</v>
      </c>
      <c r="E92" s="19">
        <f>E90+E81+E55+E49+E33+E41+E38+E36+E26+E15+E21+E87</f>
        <v>2307440470</v>
      </c>
    </row>
    <row r="93" spans="1:5" ht="15.75" customHeight="1">
      <c r="A93" s="12" t="s">
        <v>139</v>
      </c>
      <c r="B93" s="3" t="s">
        <v>140</v>
      </c>
      <c r="C93" s="19">
        <f>C94+C137+C140+C141+C139</f>
        <v>1902183830.47</v>
      </c>
      <c r="D93" s="19">
        <f>D94+D137+D140+D141</f>
        <v>1502544051.56</v>
      </c>
      <c r="E93" s="19">
        <f>E94+E137+E140+E141</f>
        <v>1519502028.8899999</v>
      </c>
    </row>
    <row r="94" spans="1:5" ht="47.25" customHeight="1">
      <c r="A94" s="12" t="s">
        <v>141</v>
      </c>
      <c r="B94" s="3" t="s">
        <v>142</v>
      </c>
      <c r="C94" s="19">
        <f>C95+C98+C110+C135</f>
        <v>1879783523.14</v>
      </c>
      <c r="D94" s="19">
        <f>D95+D98+D110+D135</f>
        <v>1502544051.56</v>
      </c>
      <c r="E94" s="19">
        <f>E95+E98+E110+E135</f>
        <v>1519502028.8899999</v>
      </c>
    </row>
    <row r="95" spans="1:5" ht="31.5" customHeight="1">
      <c r="A95" s="12" t="s">
        <v>665</v>
      </c>
      <c r="B95" s="3" t="s">
        <v>143</v>
      </c>
      <c r="C95" s="19">
        <f>C96+C97</f>
        <v>69015137</v>
      </c>
      <c r="D95" s="19">
        <f>D96+D97</f>
        <v>0</v>
      </c>
      <c r="E95" s="19">
        <f>E96+E97</f>
        <v>0</v>
      </c>
    </row>
    <row r="96" spans="1:5" ht="30" customHeight="1" hidden="1">
      <c r="A96" s="13" t="s">
        <v>666</v>
      </c>
      <c r="B96" s="7" t="s">
        <v>144</v>
      </c>
      <c r="C96" s="175"/>
      <c r="D96" s="175"/>
      <c r="E96" s="15"/>
    </row>
    <row r="97" spans="1:5" ht="60" customHeight="1">
      <c r="A97" s="13" t="s">
        <v>664</v>
      </c>
      <c r="B97" s="7" t="s">
        <v>663</v>
      </c>
      <c r="C97" s="8">
        <f>1521000+1000000+47027000+433427+277500+10510000+469000+3394000+4165610+217600</f>
        <v>69015137</v>
      </c>
      <c r="D97" s="8">
        <v>0</v>
      </c>
      <c r="E97" s="8">
        <v>0</v>
      </c>
    </row>
    <row r="98" spans="1:9" s="37" customFormat="1" ht="31.5" customHeight="1">
      <c r="A98" s="12" t="s">
        <v>653</v>
      </c>
      <c r="B98" s="3" t="s">
        <v>145</v>
      </c>
      <c r="C98" s="19">
        <f>SUM(C99:C109)</f>
        <v>106203768.97000001</v>
      </c>
      <c r="D98" s="19">
        <f>SUM(D99:D109)</f>
        <v>24170239.19</v>
      </c>
      <c r="E98" s="19">
        <f>SUM(E99:E109)</f>
        <v>25905726.52</v>
      </c>
      <c r="G98" s="309"/>
      <c r="I98" s="38"/>
    </row>
    <row r="99" spans="1:5" ht="30" customHeight="1">
      <c r="A99" s="16" t="s">
        <v>667</v>
      </c>
      <c r="B99" s="7" t="s">
        <v>146</v>
      </c>
      <c r="C99" s="8">
        <f>2493000+2493510</f>
        <v>4986510</v>
      </c>
      <c r="D99" s="8">
        <v>0</v>
      </c>
      <c r="E99" s="8">
        <v>0</v>
      </c>
    </row>
    <row r="100" spans="1:5" ht="75.75" customHeight="1">
      <c r="A100" s="13" t="s">
        <v>687</v>
      </c>
      <c r="B100" s="7" t="s">
        <v>688</v>
      </c>
      <c r="C100" s="8">
        <v>24744000</v>
      </c>
      <c r="D100" s="8">
        <v>0</v>
      </c>
      <c r="E100" s="8">
        <v>0</v>
      </c>
    </row>
    <row r="101" spans="1:5" ht="60" customHeight="1">
      <c r="A101" s="16" t="s">
        <v>651</v>
      </c>
      <c r="B101" s="7" t="s">
        <v>652</v>
      </c>
      <c r="C101" s="8">
        <v>1474363</v>
      </c>
      <c r="D101" s="8">
        <v>0</v>
      </c>
      <c r="E101" s="8">
        <v>0</v>
      </c>
    </row>
    <row r="102" spans="1:5" ht="84.75">
      <c r="A102" s="313" t="s">
        <v>741</v>
      </c>
      <c r="B102" s="314" t="s">
        <v>690</v>
      </c>
      <c r="C102" s="346">
        <v>45390577.24</v>
      </c>
      <c r="D102" s="8">
        <v>24170239.19</v>
      </c>
      <c r="E102" s="8">
        <v>25905726.52</v>
      </c>
    </row>
    <row r="103" spans="1:5" ht="45" customHeight="1">
      <c r="A103" s="313" t="s">
        <v>756</v>
      </c>
      <c r="B103" s="314" t="s">
        <v>755</v>
      </c>
      <c r="C103" s="346">
        <v>2025466</v>
      </c>
      <c r="D103" s="8">
        <v>0</v>
      </c>
      <c r="E103" s="8">
        <v>0</v>
      </c>
    </row>
    <row r="104" spans="1:5" ht="67.5">
      <c r="A104" s="313" t="s">
        <v>758</v>
      </c>
      <c r="B104" s="314" t="s">
        <v>757</v>
      </c>
      <c r="C104" s="346">
        <v>7674372.65</v>
      </c>
      <c r="D104" s="8"/>
      <c r="E104" s="8"/>
    </row>
    <row r="105" spans="1:5" ht="45" customHeight="1" hidden="1">
      <c r="A105" s="313" t="s">
        <v>147</v>
      </c>
      <c r="B105" s="314" t="s">
        <v>148</v>
      </c>
      <c r="C105" s="346"/>
      <c r="D105" s="8"/>
      <c r="E105" s="8"/>
    </row>
    <row r="106" spans="1:5" ht="33.75" hidden="1">
      <c r="A106" s="16" t="s">
        <v>149</v>
      </c>
      <c r="B106" s="7" t="s">
        <v>150</v>
      </c>
      <c r="C106" s="8"/>
      <c r="D106" s="8"/>
      <c r="E106" s="8"/>
    </row>
    <row r="107" spans="1:5" ht="45" customHeight="1" hidden="1">
      <c r="A107" s="313" t="s">
        <v>151</v>
      </c>
      <c r="B107" s="314" t="s">
        <v>152</v>
      </c>
      <c r="C107" s="346"/>
      <c r="D107" s="346"/>
      <c r="E107" s="109"/>
    </row>
    <row r="108" spans="1:5" ht="51">
      <c r="A108" s="313" t="s">
        <v>689</v>
      </c>
      <c r="B108" s="314" t="s">
        <v>736</v>
      </c>
      <c r="C108" s="346">
        <v>19908480.08</v>
      </c>
      <c r="D108" s="346">
        <v>0</v>
      </c>
      <c r="E108" s="109">
        <v>0</v>
      </c>
    </row>
    <row r="109" spans="1:5" ht="84.75">
      <c r="A109" s="16" t="s">
        <v>683</v>
      </c>
      <c r="B109" s="7" t="s">
        <v>684</v>
      </c>
      <c r="C109" s="8">
        <f>60000000-60000000</f>
        <v>0</v>
      </c>
      <c r="D109" s="8">
        <v>0</v>
      </c>
      <c r="E109" s="109">
        <v>0</v>
      </c>
    </row>
    <row r="110" spans="1:9" s="136" customFormat="1" ht="33.75">
      <c r="A110" s="12" t="s">
        <v>153</v>
      </c>
      <c r="B110" s="3" t="s">
        <v>154</v>
      </c>
      <c r="C110" s="19">
        <f>SUM(C111:C134)</f>
        <v>1697977498.97</v>
      </c>
      <c r="D110" s="19">
        <f>SUM(D111:D134)</f>
        <v>1478373812.37</v>
      </c>
      <c r="E110" s="19">
        <f>SUM(E111:E134)</f>
        <v>1493596302.37</v>
      </c>
      <c r="G110" s="309"/>
      <c r="I110" s="315"/>
    </row>
    <row r="111" spans="1:5" ht="67.5">
      <c r="A111" s="132" t="s">
        <v>695</v>
      </c>
      <c r="B111" s="239" t="s">
        <v>155</v>
      </c>
      <c r="C111" s="8">
        <v>274682.43</v>
      </c>
      <c r="D111" s="8">
        <v>274682</v>
      </c>
      <c r="E111" s="8">
        <v>274682</v>
      </c>
    </row>
    <row r="112" spans="1:5" ht="118.5">
      <c r="A112" s="132" t="s">
        <v>696</v>
      </c>
      <c r="B112" s="239" t="s">
        <v>697</v>
      </c>
      <c r="C112" s="8">
        <f>632099340+17937791+13417200</f>
        <v>663454331</v>
      </c>
      <c r="D112" s="8">
        <v>687707210</v>
      </c>
      <c r="E112" s="8">
        <v>704151110</v>
      </c>
    </row>
    <row r="113" spans="1:5" ht="135.75">
      <c r="A113" s="132" t="s">
        <v>698</v>
      </c>
      <c r="B113" s="239" t="s">
        <v>699</v>
      </c>
      <c r="C113" s="8">
        <f>55555960+1228460+1550906+915040</f>
        <v>59250366</v>
      </c>
      <c r="D113" s="8">
        <v>55555960</v>
      </c>
      <c r="E113" s="8">
        <v>55555960</v>
      </c>
    </row>
    <row r="114" spans="1:5" ht="51">
      <c r="A114" s="132" t="s">
        <v>700</v>
      </c>
      <c r="B114" s="239" t="s">
        <v>701</v>
      </c>
      <c r="C114" s="8">
        <v>4462545.2</v>
      </c>
      <c r="D114" s="8">
        <v>3898575.82</v>
      </c>
      <c r="E114" s="8">
        <v>3898575.82</v>
      </c>
    </row>
    <row r="115" spans="1:5" ht="84.75">
      <c r="A115" s="132" t="s">
        <v>702</v>
      </c>
      <c r="B115" s="239" t="s">
        <v>703</v>
      </c>
      <c r="C115" s="8">
        <f>10955544.93+830266.79</f>
        <v>11785811.719999999</v>
      </c>
      <c r="D115" s="8">
        <v>10770270</v>
      </c>
      <c r="E115" s="8">
        <v>10770270</v>
      </c>
    </row>
    <row r="116" spans="1:5" ht="118.5">
      <c r="A116" s="132" t="s">
        <v>704</v>
      </c>
      <c r="B116" s="240" t="s">
        <v>705</v>
      </c>
      <c r="C116" s="8">
        <v>59625</v>
      </c>
      <c r="D116" s="8">
        <v>59625</v>
      </c>
      <c r="E116" s="8">
        <v>59625</v>
      </c>
    </row>
    <row r="117" spans="1:5" ht="51">
      <c r="A117" s="132" t="s">
        <v>156</v>
      </c>
      <c r="B117" s="239" t="s">
        <v>13</v>
      </c>
      <c r="C117" s="8">
        <v>276074110</v>
      </c>
      <c r="D117" s="8">
        <v>198888910</v>
      </c>
      <c r="E117" s="8">
        <v>197667500</v>
      </c>
    </row>
    <row r="118" spans="1:5" ht="67.5">
      <c r="A118" s="132" t="s">
        <v>706</v>
      </c>
      <c r="B118" s="239" t="s">
        <v>707</v>
      </c>
      <c r="C118" s="8">
        <v>1080244.38</v>
      </c>
      <c r="D118" s="8">
        <v>958087.92</v>
      </c>
      <c r="E118" s="8">
        <v>958087.92</v>
      </c>
    </row>
    <row r="119" spans="1:5" ht="33.75">
      <c r="A119" s="132" t="s">
        <v>708</v>
      </c>
      <c r="B119" s="241" t="s">
        <v>709</v>
      </c>
      <c r="C119" s="8">
        <v>2513387.3</v>
      </c>
      <c r="D119" s="8">
        <v>2349490</v>
      </c>
      <c r="E119" s="8">
        <v>2349490</v>
      </c>
    </row>
    <row r="120" spans="1:5" ht="51">
      <c r="A120" s="132" t="s">
        <v>710</v>
      </c>
      <c r="B120" s="239" t="s">
        <v>711</v>
      </c>
      <c r="C120" s="8">
        <v>1128807.29</v>
      </c>
      <c r="D120" s="8">
        <v>1032469</v>
      </c>
      <c r="E120" s="8">
        <v>1032469</v>
      </c>
    </row>
    <row r="121" spans="1:17" s="27" customFormat="1" ht="33.75">
      <c r="A121" s="132" t="s">
        <v>712</v>
      </c>
      <c r="B121" s="239" t="s">
        <v>14</v>
      </c>
      <c r="C121" s="8">
        <v>1340692.42</v>
      </c>
      <c r="D121" s="8">
        <v>604274</v>
      </c>
      <c r="E121" s="8">
        <v>604274</v>
      </c>
      <c r="F121" s="1"/>
      <c r="G121" s="305"/>
      <c r="H121" s="1"/>
      <c r="J121" s="1"/>
      <c r="K121" s="1"/>
      <c r="L121" s="1"/>
      <c r="M121" s="1"/>
      <c r="N121" s="1"/>
      <c r="O121" s="1"/>
      <c r="P121" s="1"/>
      <c r="Q121" s="1"/>
    </row>
    <row r="122" spans="1:17" s="27" customFormat="1" ht="51">
      <c r="A122" s="132" t="s">
        <v>713</v>
      </c>
      <c r="B122" s="239" t="s">
        <v>714</v>
      </c>
      <c r="C122" s="8">
        <f>1346738.63+103251.25</f>
        <v>1449989.88</v>
      </c>
      <c r="D122" s="8">
        <v>1346738.63</v>
      </c>
      <c r="E122" s="8">
        <v>1346738.63</v>
      </c>
      <c r="F122" s="1"/>
      <c r="G122" s="305"/>
      <c r="H122" s="1"/>
      <c r="J122" s="1"/>
      <c r="K122" s="1"/>
      <c r="L122" s="1"/>
      <c r="M122" s="1"/>
      <c r="N122" s="1"/>
      <c r="O122" s="1"/>
      <c r="P122" s="1"/>
      <c r="Q122" s="1"/>
    </row>
    <row r="123" spans="1:17" s="27" customFormat="1" ht="67.5">
      <c r="A123" s="132" t="s">
        <v>715</v>
      </c>
      <c r="B123" s="239" t="s">
        <v>716</v>
      </c>
      <c r="C123" s="8">
        <f>399982530+12923740+11555960</f>
        <v>424462230</v>
      </c>
      <c r="D123" s="8">
        <v>399982530</v>
      </c>
      <c r="E123" s="8">
        <v>399982530</v>
      </c>
      <c r="F123" s="1"/>
      <c r="G123" s="305"/>
      <c r="H123" s="1"/>
      <c r="J123" s="1"/>
      <c r="K123" s="1"/>
      <c r="L123" s="1"/>
      <c r="M123" s="1"/>
      <c r="N123" s="1"/>
      <c r="O123" s="1"/>
      <c r="P123" s="1"/>
      <c r="Q123" s="1"/>
    </row>
    <row r="124" spans="1:17" s="27" customFormat="1" ht="102">
      <c r="A124" s="132" t="s">
        <v>650</v>
      </c>
      <c r="B124" s="316" t="s">
        <v>717</v>
      </c>
      <c r="C124" s="8">
        <v>2079072.22</v>
      </c>
      <c r="D124" s="8">
        <v>0</v>
      </c>
      <c r="E124" s="8">
        <v>0</v>
      </c>
      <c r="F124" s="1"/>
      <c r="G124" s="305"/>
      <c r="H124" s="1"/>
      <c r="J124" s="1"/>
      <c r="K124" s="1"/>
      <c r="L124" s="1"/>
      <c r="M124" s="1"/>
      <c r="N124" s="1"/>
      <c r="O124" s="1"/>
      <c r="P124" s="1"/>
      <c r="Q124" s="1"/>
    </row>
    <row r="125" spans="1:17" s="27" customFormat="1" ht="84.75">
      <c r="A125" s="132" t="s">
        <v>718</v>
      </c>
      <c r="B125" s="239" t="s">
        <v>169</v>
      </c>
      <c r="C125" s="8">
        <v>55621368</v>
      </c>
      <c r="D125" s="8">
        <v>0</v>
      </c>
      <c r="E125" s="8">
        <v>0</v>
      </c>
      <c r="F125" s="1"/>
      <c r="G125" s="305"/>
      <c r="H125" s="1"/>
      <c r="J125" s="1"/>
      <c r="K125" s="1"/>
      <c r="L125" s="1"/>
      <c r="M125" s="1"/>
      <c r="N125" s="1"/>
      <c r="O125" s="1"/>
      <c r="P125" s="1"/>
      <c r="Q125" s="1"/>
    </row>
    <row r="126" spans="1:17" s="27" customFormat="1" ht="84.75">
      <c r="A126" s="132" t="s">
        <v>719</v>
      </c>
      <c r="B126" s="240" t="s">
        <v>720</v>
      </c>
      <c r="C126" s="8">
        <v>3297600</v>
      </c>
      <c r="D126" s="8">
        <v>3297600</v>
      </c>
      <c r="E126" s="8">
        <v>3297600</v>
      </c>
      <c r="F126" s="1"/>
      <c r="G126" s="305"/>
      <c r="J126" s="1"/>
      <c r="K126" s="1"/>
      <c r="L126" s="1"/>
      <c r="M126" s="1"/>
      <c r="N126" s="1"/>
      <c r="O126" s="1"/>
      <c r="P126" s="1"/>
      <c r="Q126" s="1"/>
    </row>
    <row r="127" spans="1:17" s="27" customFormat="1" ht="67.5">
      <c r="A127" s="132" t="s">
        <v>721</v>
      </c>
      <c r="B127" s="239" t="s">
        <v>722</v>
      </c>
      <c r="C127" s="8">
        <f>43274300+850000</f>
        <v>44124300</v>
      </c>
      <c r="D127" s="8">
        <v>31641200</v>
      </c>
      <c r="E127" s="8">
        <v>31641200</v>
      </c>
      <c r="F127" s="1"/>
      <c r="G127" s="305"/>
      <c r="J127" s="1"/>
      <c r="K127" s="1"/>
      <c r="L127" s="1"/>
      <c r="M127" s="1"/>
      <c r="N127" s="1"/>
      <c r="O127" s="1"/>
      <c r="P127" s="1"/>
      <c r="Q127" s="1"/>
    </row>
    <row r="128" spans="1:17" s="27" customFormat="1" ht="51">
      <c r="A128" s="132" t="s">
        <v>723</v>
      </c>
      <c r="B128" s="242" t="s">
        <v>724</v>
      </c>
      <c r="C128" s="8">
        <v>9730000</v>
      </c>
      <c r="D128" s="8">
        <v>0</v>
      </c>
      <c r="E128" s="8">
        <v>0</v>
      </c>
      <c r="F128" s="1"/>
      <c r="G128" s="305"/>
      <c r="H128" s="1"/>
      <c r="J128" s="1"/>
      <c r="K128" s="1"/>
      <c r="L128" s="1"/>
      <c r="M128" s="1"/>
      <c r="N128" s="1"/>
      <c r="O128" s="1"/>
      <c r="P128" s="1"/>
      <c r="Q128" s="1"/>
    </row>
    <row r="129" spans="1:17" s="27" customFormat="1" ht="51">
      <c r="A129" s="132" t="s">
        <v>725</v>
      </c>
      <c r="B129" s="242" t="s">
        <v>726</v>
      </c>
      <c r="C129" s="8">
        <v>11938960.5</v>
      </c>
      <c r="D129" s="8">
        <v>0</v>
      </c>
      <c r="E129" s="8">
        <v>0</v>
      </c>
      <c r="F129" s="1"/>
      <c r="G129" s="305"/>
      <c r="H129" s="1"/>
      <c r="J129" s="1"/>
      <c r="K129" s="1"/>
      <c r="L129" s="1"/>
      <c r="M129" s="1"/>
      <c r="N129" s="1"/>
      <c r="O129" s="1"/>
      <c r="P129" s="1"/>
      <c r="Q129" s="1"/>
    </row>
    <row r="130" spans="1:17" s="27" customFormat="1" ht="67.5">
      <c r="A130" s="132" t="s">
        <v>727</v>
      </c>
      <c r="B130" s="242" t="s">
        <v>728</v>
      </c>
      <c r="C130" s="8">
        <v>67066000</v>
      </c>
      <c r="D130" s="8">
        <v>25970000</v>
      </c>
      <c r="E130" s="8">
        <v>25970000</v>
      </c>
      <c r="F130" s="1"/>
      <c r="G130" s="305"/>
      <c r="H130" s="1"/>
      <c r="J130" s="1"/>
      <c r="K130" s="1"/>
      <c r="L130" s="1"/>
      <c r="M130" s="1"/>
      <c r="N130" s="1"/>
      <c r="O130" s="1"/>
      <c r="P130" s="1"/>
      <c r="Q130" s="1"/>
    </row>
    <row r="131" spans="1:17" s="27" customFormat="1" ht="153">
      <c r="A131" s="132" t="s">
        <v>729</v>
      </c>
      <c r="B131" s="242" t="s">
        <v>730</v>
      </c>
      <c r="C131" s="8">
        <v>6895821</v>
      </c>
      <c r="D131" s="8">
        <v>0</v>
      </c>
      <c r="E131" s="8">
        <v>0</v>
      </c>
      <c r="F131" s="1"/>
      <c r="G131" s="305"/>
      <c r="H131" s="1"/>
      <c r="J131" s="1"/>
      <c r="K131" s="1"/>
      <c r="L131" s="1"/>
      <c r="M131" s="1"/>
      <c r="N131" s="1"/>
      <c r="O131" s="1"/>
      <c r="P131" s="1"/>
      <c r="Q131" s="1"/>
    </row>
    <row r="132" spans="1:17" s="27" customFormat="1" ht="102">
      <c r="A132" s="132" t="s">
        <v>731</v>
      </c>
      <c r="B132" s="240" t="s">
        <v>742</v>
      </c>
      <c r="C132" s="8">
        <f>6258000-4261730</f>
        <v>1996270</v>
      </c>
      <c r="D132" s="8">
        <v>6258000</v>
      </c>
      <c r="E132" s="8">
        <v>6258000</v>
      </c>
      <c r="F132" s="1"/>
      <c r="G132" s="305"/>
      <c r="H132" s="1"/>
      <c r="J132" s="1"/>
      <c r="K132" s="1"/>
      <c r="L132" s="1"/>
      <c r="M132" s="1"/>
      <c r="N132" s="1"/>
      <c r="O132" s="1"/>
      <c r="P132" s="1"/>
      <c r="Q132" s="1"/>
    </row>
    <row r="133" spans="1:17" s="27" customFormat="1" ht="67.5">
      <c r="A133" s="132" t="s">
        <v>732</v>
      </c>
      <c r="B133" s="240" t="s">
        <v>733</v>
      </c>
      <c r="C133" s="8">
        <v>113094.63</v>
      </c>
      <c r="D133" s="19"/>
      <c r="E133" s="19"/>
      <c r="F133" s="1"/>
      <c r="G133" s="305"/>
      <c r="H133" s="1"/>
      <c r="J133" s="1"/>
      <c r="K133" s="1"/>
      <c r="L133" s="1"/>
      <c r="M133" s="1"/>
      <c r="N133" s="1"/>
      <c r="O133" s="1"/>
      <c r="P133" s="1"/>
      <c r="Q133" s="1"/>
    </row>
    <row r="134" spans="1:17" s="27" customFormat="1" ht="135.75">
      <c r="A134" s="132" t="s">
        <v>734</v>
      </c>
      <c r="B134" s="7" t="s">
        <v>735</v>
      </c>
      <c r="C134" s="8">
        <v>47778190</v>
      </c>
      <c r="D134" s="8">
        <v>47778190</v>
      </c>
      <c r="E134" s="8">
        <v>47778190</v>
      </c>
      <c r="F134" s="1"/>
      <c r="G134" s="305"/>
      <c r="H134" s="1"/>
      <c r="J134" s="1"/>
      <c r="K134" s="1"/>
      <c r="L134" s="1"/>
      <c r="M134" s="1"/>
      <c r="N134" s="1"/>
      <c r="O134" s="1"/>
      <c r="P134" s="1"/>
      <c r="Q134" s="1"/>
    </row>
    <row r="135" spans="1:9" s="136" customFormat="1" ht="15.75" customHeight="1">
      <c r="A135" s="12" t="s">
        <v>157</v>
      </c>
      <c r="B135" s="3" t="s">
        <v>158</v>
      </c>
      <c r="C135" s="19">
        <f>SUM(C136:C136)</f>
        <v>6587118.2</v>
      </c>
      <c r="D135" s="19">
        <f>SUM(D136:D136)</f>
        <v>0</v>
      </c>
      <c r="E135" s="19">
        <f>SUM(E136:E136)</f>
        <v>0</v>
      </c>
      <c r="G135" s="309"/>
      <c r="I135" s="315"/>
    </row>
    <row r="136" spans="1:5" ht="75.75" customHeight="1">
      <c r="A136" s="13" t="s">
        <v>159</v>
      </c>
      <c r="B136" s="7" t="s">
        <v>160</v>
      </c>
      <c r="C136" s="8">
        <v>6587118.2</v>
      </c>
      <c r="D136" s="8">
        <v>0</v>
      </c>
      <c r="E136" s="317">
        <v>0</v>
      </c>
    </row>
    <row r="137" spans="1:9" s="37" customFormat="1" ht="15.75" customHeight="1">
      <c r="A137" s="12" t="s">
        <v>747</v>
      </c>
      <c r="B137" s="3" t="s">
        <v>161</v>
      </c>
      <c r="C137" s="19">
        <f>C138</f>
        <v>13827010</v>
      </c>
      <c r="D137" s="19">
        <f>D138</f>
        <v>0</v>
      </c>
      <c r="E137" s="19">
        <f>E138</f>
        <v>0</v>
      </c>
      <c r="G137" s="309"/>
      <c r="I137" s="38"/>
    </row>
    <row r="138" spans="1:8" ht="30" customHeight="1">
      <c r="A138" s="13" t="s">
        <v>746</v>
      </c>
      <c r="B138" s="7" t="s">
        <v>15</v>
      </c>
      <c r="C138" s="8">
        <f>9250000+1895010+682000+2000000</f>
        <v>13827010</v>
      </c>
      <c r="D138" s="19"/>
      <c r="E138" s="318"/>
      <c r="H138" s="27"/>
    </row>
    <row r="139" spans="1:8" ht="50.25" customHeight="1">
      <c r="A139" s="12" t="s">
        <v>745</v>
      </c>
      <c r="B139" s="3" t="s">
        <v>744</v>
      </c>
      <c r="C139" s="19">
        <f>376255.2+10000000+2186753.16+266625.22+1254745.52+2006945.83+8000000+375536.72+2085356.78+2882967.36</f>
        <v>29435185.79</v>
      </c>
      <c r="D139" s="19"/>
      <c r="E139" s="318"/>
      <c r="H139" s="27"/>
    </row>
    <row r="140" spans="1:9" s="37" customFormat="1" ht="63" customHeight="1">
      <c r="A140" s="12" t="s">
        <v>750</v>
      </c>
      <c r="B140" s="3" t="s">
        <v>162</v>
      </c>
      <c r="C140" s="19">
        <f>54.07+4000188.78</f>
        <v>4000242.8499999996</v>
      </c>
      <c r="D140" s="19"/>
      <c r="E140" s="318"/>
      <c r="G140" s="309"/>
      <c r="I140" s="38"/>
    </row>
    <row r="141" spans="1:9" s="37" customFormat="1" ht="63" customHeight="1">
      <c r="A141" s="12" t="s">
        <v>163</v>
      </c>
      <c r="B141" s="3" t="s">
        <v>164</v>
      </c>
      <c r="C141" s="19">
        <f>-3654360-15510277.7-54.07-112384.02-2186753.16-266625.22-3500-23716.14-3104461</f>
        <v>-24862131.31</v>
      </c>
      <c r="D141" s="19"/>
      <c r="E141" s="19"/>
      <c r="G141" s="309"/>
      <c r="I141" s="38"/>
    </row>
    <row r="142" spans="1:9" s="136" customFormat="1" ht="15.75">
      <c r="A142" s="319"/>
      <c r="B142" s="320" t="s">
        <v>165</v>
      </c>
      <c r="C142" s="111">
        <f>C92+C93</f>
        <v>4144481862.26</v>
      </c>
      <c r="D142" s="111">
        <f>D92+D93</f>
        <v>3699412051.56</v>
      </c>
      <c r="E142" s="111">
        <f>E92+E93</f>
        <v>3826942498.89</v>
      </c>
      <c r="G142" s="309"/>
      <c r="I142" s="315"/>
    </row>
    <row r="146" spans="1:5" ht="15.75" hidden="1">
      <c r="A146" s="321"/>
      <c r="B146" s="322" t="s">
        <v>166</v>
      </c>
      <c r="C146" s="323">
        <f>C15+C21+C26+C36+C38</f>
        <v>1737459936.14</v>
      </c>
      <c r="D146" s="323">
        <f>D15+D21+D26+D36+D38</f>
        <v>1719914160</v>
      </c>
      <c r="E146" s="323">
        <f>E15+E21+E26+E36+E38</f>
        <v>1829834030</v>
      </c>
    </row>
    <row r="147" spans="2:5" ht="15.75" hidden="1">
      <c r="B147" s="2" t="s">
        <v>167</v>
      </c>
      <c r="C147" s="324">
        <f>C41+C49+C55+C81</f>
        <v>502130095.65</v>
      </c>
      <c r="D147" s="324">
        <f>D41+D49+D55+D81</f>
        <v>476575840</v>
      </c>
      <c r="E147" s="324">
        <f>E41+E49+E55+E81</f>
        <v>477228440</v>
      </c>
    </row>
    <row r="148" spans="2:5" ht="15.75" hidden="1">
      <c r="B148" s="2" t="s">
        <v>168</v>
      </c>
      <c r="C148" s="324">
        <f>C146+C147</f>
        <v>2239590031.79</v>
      </c>
      <c r="D148" s="324">
        <f>D146+D147</f>
        <v>2196490000</v>
      </c>
      <c r="E148" s="324">
        <f>E146+E147</f>
        <v>2307062470</v>
      </c>
    </row>
    <row r="149" spans="3:5" ht="15.75">
      <c r="C149" s="324"/>
      <c r="D149" s="324"/>
      <c r="E149" s="324"/>
    </row>
  </sheetData>
  <sheetProtection/>
  <mergeCells count="8">
    <mergeCell ref="D8:E8"/>
    <mergeCell ref="A11:E11"/>
    <mergeCell ref="D2:E2"/>
    <mergeCell ref="D3:E3"/>
    <mergeCell ref="D4:E4"/>
    <mergeCell ref="D5:E5"/>
    <mergeCell ref="D6:E6"/>
    <mergeCell ref="D7:E7"/>
  </mergeCells>
  <printOptions/>
  <pageMargins left="0.6299212598425197" right="0.2362204724409449" top="0.35433070866141736" bottom="0.35433070866141736" header="0.31496062992125984" footer="0.31496062992125984"/>
  <pageSetup fitToHeight="4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84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65.7109375" style="2" customWidth="1"/>
    <col min="2" max="2" width="19.421875" style="26" customWidth="1"/>
    <col min="3" max="3" width="7.7109375" style="26" customWidth="1"/>
    <col min="4" max="4" width="22.421875" style="219" customWidth="1"/>
    <col min="5" max="5" width="20.421875" style="219" customWidth="1"/>
    <col min="6" max="6" width="22.7109375" style="219" customWidth="1"/>
    <col min="7" max="7" width="14.28125" style="27" customWidth="1"/>
    <col min="8" max="8" width="20.00390625" style="27" customWidth="1"/>
    <col min="9" max="11" width="12.140625" style="27" customWidth="1"/>
    <col min="12" max="12" width="12.8515625" style="27" customWidth="1"/>
    <col min="13" max="13" width="11.421875" style="27" customWidth="1"/>
    <col min="14" max="14" width="10.7109375" style="27" customWidth="1"/>
    <col min="15" max="15" width="12.140625" style="27" customWidth="1"/>
    <col min="16" max="16" width="10.7109375" style="27" bestFit="1" customWidth="1"/>
    <col min="17" max="20" width="9.140625" style="27" customWidth="1"/>
    <col min="21" max="184" width="9.140625" style="1" customWidth="1"/>
    <col min="185" max="185" width="65.7109375" style="1" customWidth="1"/>
    <col min="186" max="186" width="19.421875" style="1" customWidth="1"/>
    <col min="187" max="187" width="7.7109375" style="1" customWidth="1"/>
    <col min="188" max="188" width="19.28125" style="1" bestFit="1" customWidth="1"/>
    <col min="189" max="194" width="0" style="28" hidden="1" customWidth="1"/>
    <col min="195" max="196" width="13.421875" style="1" bestFit="1" customWidth="1"/>
    <col min="197" max="197" width="12.421875" style="1" bestFit="1" customWidth="1"/>
    <col min="198" max="198" width="10.7109375" style="1" bestFit="1" customWidth="1"/>
    <col min="199" max="199" width="12.421875" style="1" bestFit="1" customWidth="1"/>
    <col min="200" max="16384" width="9.140625" style="1" customWidth="1"/>
  </cols>
  <sheetData>
    <row r="2" spans="2:6" ht="18">
      <c r="B2" s="25"/>
      <c r="E2" s="220" t="s">
        <v>637</v>
      </c>
      <c r="F2" s="220"/>
    </row>
    <row r="3" spans="2:6" ht="18">
      <c r="B3" s="25"/>
      <c r="E3" s="220" t="s">
        <v>17</v>
      </c>
      <c r="F3" s="220"/>
    </row>
    <row r="4" spans="2:6" ht="18">
      <c r="B4" s="25"/>
      <c r="E4" s="220" t="s">
        <v>18</v>
      </c>
      <c r="F4" s="220"/>
    </row>
    <row r="5" spans="2:6" ht="18">
      <c r="B5" s="25"/>
      <c r="E5" s="220" t="s">
        <v>19</v>
      </c>
      <c r="F5" s="220"/>
    </row>
    <row r="6" spans="2:6" ht="18">
      <c r="B6" s="25"/>
      <c r="E6" s="220" t="s">
        <v>20</v>
      </c>
      <c r="F6" s="220"/>
    </row>
    <row r="7" spans="2:6" ht="18">
      <c r="B7" s="25"/>
      <c r="E7" s="220" t="s">
        <v>781</v>
      </c>
      <c r="F7" s="220"/>
    </row>
    <row r="8" spans="2:6" ht="18">
      <c r="B8" s="25"/>
      <c r="E8" s="220" t="s">
        <v>783</v>
      </c>
      <c r="F8" s="220"/>
    </row>
    <row r="11" spans="1:6" ht="103.5" customHeight="1">
      <c r="A11" s="366" t="s">
        <v>296</v>
      </c>
      <c r="B11" s="366"/>
      <c r="C11" s="366"/>
      <c r="D11" s="367"/>
      <c r="E11" s="367"/>
      <c r="F11" s="367"/>
    </row>
    <row r="12" ht="18">
      <c r="A12" s="29"/>
    </row>
    <row r="13" ht="15.75">
      <c r="F13" s="30" t="s">
        <v>186</v>
      </c>
    </row>
    <row r="14" spans="1:6" ht="55.5" customHeight="1">
      <c r="A14" s="31" t="s">
        <v>22</v>
      </c>
      <c r="B14" s="32" t="s">
        <v>187</v>
      </c>
      <c r="C14" s="32" t="s">
        <v>188</v>
      </c>
      <c r="D14" s="33" t="s">
        <v>23</v>
      </c>
      <c r="E14" s="33" t="s">
        <v>24</v>
      </c>
      <c r="F14" s="33" t="s">
        <v>174</v>
      </c>
    </row>
    <row r="15" spans="1:256" s="39" customFormat="1" ht="16.5">
      <c r="A15" s="34" t="s">
        <v>189</v>
      </c>
      <c r="B15" s="35"/>
      <c r="C15" s="35"/>
      <c r="D15" s="36">
        <f>D16+D44+D71+D76+D91+D99+D117+D125+D132+D146+D158+D163+D168+D173+D176</f>
        <v>2021053602.6699998</v>
      </c>
      <c r="E15" s="36">
        <f>E16+E44+E71+E76+E91+E99+E117+E125+E132+E146+E158+E163+E168+E173+E176</f>
        <v>1615371928.8599997</v>
      </c>
      <c r="F15" s="36">
        <f>F16+F44+F71+F76+F91+F99+F117+F125+F132+F146+F158+F163+F168+F173+F176</f>
        <v>1619555998.5800002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6" ht="16.5">
      <c r="A16" s="40" t="s">
        <v>190</v>
      </c>
      <c r="B16" s="41" t="s">
        <v>191</v>
      </c>
      <c r="C16" s="42"/>
      <c r="D16" s="226">
        <f>D17+D22+D34+D38</f>
        <v>932873136.25</v>
      </c>
      <c r="E16" s="226">
        <f>E17+E22+E34+E38</f>
        <v>972074997.18</v>
      </c>
      <c r="F16" s="226">
        <f>F17+F22+F34+F38</f>
        <v>974599911.51</v>
      </c>
    </row>
    <row r="17" spans="1:6" ht="16.5">
      <c r="A17" s="43" t="s">
        <v>192</v>
      </c>
      <c r="B17" s="44" t="s">
        <v>193</v>
      </c>
      <c r="C17" s="45"/>
      <c r="D17" s="227">
        <f>SUM(D18:D21)</f>
        <v>65230966.15</v>
      </c>
      <c r="E17" s="227">
        <f>SUM(E18:E21)</f>
        <v>83274533</v>
      </c>
      <c r="F17" s="227">
        <f>SUM(F18:F21)</f>
        <v>83274533</v>
      </c>
    </row>
    <row r="18" spans="1:6" ht="67.5">
      <c r="A18" s="46" t="s">
        <v>194</v>
      </c>
      <c r="B18" s="47" t="s">
        <v>193</v>
      </c>
      <c r="C18" s="32">
        <v>100</v>
      </c>
      <c r="D18" s="77">
        <f>51577456+113892-8395860.89</f>
        <v>43295487.11</v>
      </c>
      <c r="E18" s="77">
        <v>51577456</v>
      </c>
      <c r="F18" s="77">
        <v>51577456</v>
      </c>
    </row>
    <row r="19" spans="1:6" ht="33.75">
      <c r="A19" s="48" t="s">
        <v>195</v>
      </c>
      <c r="B19" s="47" t="s">
        <v>193</v>
      </c>
      <c r="C19" s="32">
        <v>200</v>
      </c>
      <c r="D19" s="77">
        <f>11142077-2409151+446436.94+50000+750000</f>
        <v>9979362.94</v>
      </c>
      <c r="E19" s="77">
        <v>11142077</v>
      </c>
      <c r="F19" s="77">
        <v>11142077</v>
      </c>
    </row>
    <row r="20" spans="1:6" ht="16.5">
      <c r="A20" s="46" t="s">
        <v>196</v>
      </c>
      <c r="B20" s="47" t="s">
        <v>193</v>
      </c>
      <c r="C20" s="32">
        <v>300</v>
      </c>
      <c r="D20" s="77">
        <f>16555000+491373.36+1911377.34-7001634.6</f>
        <v>11956116.1</v>
      </c>
      <c r="E20" s="77">
        <v>16555000</v>
      </c>
      <c r="F20" s="77">
        <v>16555000</v>
      </c>
    </row>
    <row r="21" spans="1:6" ht="16.5">
      <c r="A21" s="46" t="s">
        <v>197</v>
      </c>
      <c r="B21" s="47" t="s">
        <v>193</v>
      </c>
      <c r="C21" s="32">
        <v>800</v>
      </c>
      <c r="D21" s="77">
        <f>4000000-4000000</f>
        <v>0</v>
      </c>
      <c r="E21" s="77">
        <v>4000000</v>
      </c>
      <c r="F21" s="77">
        <v>4000000</v>
      </c>
    </row>
    <row r="22" spans="1:6" ht="16.5">
      <c r="A22" s="49" t="s">
        <v>198</v>
      </c>
      <c r="B22" s="50" t="s">
        <v>199</v>
      </c>
      <c r="C22" s="51"/>
      <c r="D22" s="52">
        <f>D23+D28</f>
        <v>713358083.36</v>
      </c>
      <c r="E22" s="52">
        <f>E23+E28</f>
        <v>754019475.8599999</v>
      </c>
      <c r="F22" s="52">
        <f>F23+F28</f>
        <v>756286425.55</v>
      </c>
    </row>
    <row r="23" spans="1:6" ht="16.5">
      <c r="A23" s="53" t="s">
        <v>200</v>
      </c>
      <c r="B23" s="44" t="s">
        <v>201</v>
      </c>
      <c r="C23" s="45"/>
      <c r="D23" s="228">
        <f>D24+D25+D26+D27</f>
        <v>314117227.49</v>
      </c>
      <c r="E23" s="228">
        <f>E24+E25+E26+E27</f>
        <v>333576586.28</v>
      </c>
      <c r="F23" s="228">
        <f>F24+F25+F26+F27</f>
        <v>333576586.28</v>
      </c>
    </row>
    <row r="24" spans="1:6" ht="67.5">
      <c r="A24" s="46" t="s">
        <v>194</v>
      </c>
      <c r="B24" s="47" t="s">
        <v>201</v>
      </c>
      <c r="C24" s="32">
        <v>100</v>
      </c>
      <c r="D24" s="77">
        <f>160572845.09-50000-45650-29438-11445-135750+395133.89-212425.4-63852.71-60768.1-842799.02+1668077.92-425066-472843.9-1619.16-214016-85972.49-4858276.98+500000+1122408.68</f>
        <v>156748542.81999996</v>
      </c>
      <c r="E24" s="77">
        <v>160572845.09</v>
      </c>
      <c r="F24" s="77">
        <v>160572845.09</v>
      </c>
    </row>
    <row r="25" spans="1:6" ht="33.75">
      <c r="A25" s="48" t="s">
        <v>195</v>
      </c>
      <c r="B25" s="47" t="s">
        <v>201</v>
      </c>
      <c r="C25" s="32">
        <v>200</v>
      </c>
      <c r="D25" s="77">
        <f>171278020.99-17358746.46+1663915+33747.02+313808.69+316640.26+198750+1159359.96+12752968.8-9822772.8+183375.11-6681.76+842799.02+425066-4063772.04-317427.77+214016-5067750.26</f>
        <v>152745315.76000005</v>
      </c>
      <c r="E25" s="77">
        <f>171278020.99-6808480.8</f>
        <v>164469540.19</v>
      </c>
      <c r="F25" s="77">
        <f>171278020.99-6808480.8</f>
        <v>164469540.19</v>
      </c>
    </row>
    <row r="26" spans="1:6" ht="16.5">
      <c r="A26" s="48" t="s">
        <v>196</v>
      </c>
      <c r="B26" s="47" t="s">
        <v>201</v>
      </c>
      <c r="C26" s="32">
        <v>300</v>
      </c>
      <c r="D26" s="77">
        <f>50000+45650+29438+11445+212425.4+63852.71+1619.16+85972.49-16245</f>
        <v>484157.76</v>
      </c>
      <c r="E26" s="77"/>
      <c r="F26" s="77"/>
    </row>
    <row r="27" spans="1:6" ht="16.5">
      <c r="A27" s="46" t="s">
        <v>197</v>
      </c>
      <c r="B27" s="47" t="s">
        <v>201</v>
      </c>
      <c r="C27" s="32">
        <v>800</v>
      </c>
      <c r="D27" s="77">
        <f>8534201-63000-1159359.96-2930196-242433.89</f>
        <v>4139211.15</v>
      </c>
      <c r="E27" s="77">
        <v>8534201</v>
      </c>
      <c r="F27" s="77">
        <v>8534201</v>
      </c>
    </row>
    <row r="28" spans="1:6" ht="16.5">
      <c r="A28" s="54" t="s">
        <v>202</v>
      </c>
      <c r="B28" s="44" t="s">
        <v>203</v>
      </c>
      <c r="C28" s="45"/>
      <c r="D28" s="229">
        <f>SUM(D29:D33)</f>
        <v>399240855.87</v>
      </c>
      <c r="E28" s="229">
        <f>SUM(E29:E33)</f>
        <v>420442889.58</v>
      </c>
      <c r="F28" s="229">
        <f>SUM(F29:F33)</f>
        <v>422709839.27</v>
      </c>
    </row>
    <row r="29" spans="1:6" ht="67.5">
      <c r="A29" s="48" t="s">
        <v>194</v>
      </c>
      <c r="B29" s="47" t="s">
        <v>203</v>
      </c>
      <c r="C29" s="32">
        <v>100</v>
      </c>
      <c r="D29" s="77">
        <f>85982452-250000-94875-64200+1764084.62-41750-363-65100-1251227.15+748272.45+177784</f>
        <v>86905077.92</v>
      </c>
      <c r="E29" s="77">
        <v>86586452</v>
      </c>
      <c r="F29" s="77">
        <v>86122077</v>
      </c>
    </row>
    <row r="30" spans="1:6" ht="33.75">
      <c r="A30" s="48" t="s">
        <v>195</v>
      </c>
      <c r="B30" s="47" t="s">
        <v>203</v>
      </c>
      <c r="C30" s="32">
        <v>200</v>
      </c>
      <c r="D30" s="77">
        <f>65090536.79-3388585.23+250000+150000+297000+94875-150000-31500-72.83-41000-30000+41750-12053.33-1459-910368.4</f>
        <v>61359123.00000001</v>
      </c>
      <c r="E30" s="77">
        <v>63877575.51</v>
      </c>
      <c r="F30" s="77">
        <v>63877575.51</v>
      </c>
    </row>
    <row r="31" spans="1:6" ht="16.5">
      <c r="A31" s="48" t="s">
        <v>196</v>
      </c>
      <c r="B31" s="47" t="s">
        <v>203</v>
      </c>
      <c r="C31" s="32">
        <v>300</v>
      </c>
      <c r="D31" s="77">
        <f>65100+63892</f>
        <v>128992</v>
      </c>
      <c r="E31" s="77"/>
      <c r="F31" s="77"/>
    </row>
    <row r="32" spans="1:6" ht="33.75">
      <c r="A32" s="46" t="s">
        <v>204</v>
      </c>
      <c r="B32" s="47" t="s">
        <v>203</v>
      </c>
      <c r="C32" s="32">
        <v>600</v>
      </c>
      <c r="D32" s="77">
        <f>274832390.99-13854233.3-17088626.65+1647510+175000+2490832.09+4063772.04-4418317.94+100000+972754.17</f>
        <v>248921081.39999998</v>
      </c>
      <c r="E32" s="77">
        <v>268409046.07</v>
      </c>
      <c r="F32" s="77">
        <v>271140370.76</v>
      </c>
    </row>
    <row r="33" spans="1:6" ht="16.5">
      <c r="A33" s="46" t="s">
        <v>197</v>
      </c>
      <c r="B33" s="47" t="s">
        <v>203</v>
      </c>
      <c r="C33" s="32">
        <v>800</v>
      </c>
      <c r="D33" s="77">
        <f>1581140+300000+31500+72.83+41000+30000+1459-58590.28</f>
        <v>1926581.55</v>
      </c>
      <c r="E33" s="77">
        <v>1569816</v>
      </c>
      <c r="F33" s="77">
        <v>1569816</v>
      </c>
    </row>
    <row r="34" spans="1:6" ht="16.5">
      <c r="A34" s="55" t="s">
        <v>205</v>
      </c>
      <c r="B34" s="44" t="s">
        <v>206</v>
      </c>
      <c r="C34" s="56"/>
      <c r="D34" s="57">
        <f>D35+D36+D37</f>
        <v>86916960.17</v>
      </c>
      <c r="E34" s="57">
        <f>E35+E36+E37</f>
        <v>81729230.47</v>
      </c>
      <c r="F34" s="57">
        <f>F35+F36+F37</f>
        <v>81987195.11</v>
      </c>
    </row>
    <row r="35" spans="1:6" ht="75.75" customHeight="1">
      <c r="A35" s="48" t="s">
        <v>194</v>
      </c>
      <c r="B35" s="47" t="s">
        <v>206</v>
      </c>
      <c r="C35" s="58">
        <v>100</v>
      </c>
      <c r="D35" s="77">
        <f>74083704.13-14854.21+124827.24-244603.8-258267.28</f>
        <v>73690806.08</v>
      </c>
      <c r="E35" s="77">
        <v>74163704.13</v>
      </c>
      <c r="F35" s="77">
        <v>74163704.13</v>
      </c>
    </row>
    <row r="36" spans="1:6" ht="33.75">
      <c r="A36" s="48" t="s">
        <v>195</v>
      </c>
      <c r="B36" s="47" t="s">
        <v>206</v>
      </c>
      <c r="C36" s="32">
        <v>200</v>
      </c>
      <c r="D36" s="77">
        <f>9359523.4-2017559.23-2043291+538575+70000+350000+2335635.08+980000+506547-3495.93-8030.24+1019065.69-719082.96+258267.28</f>
        <v>10626154.089999998</v>
      </c>
      <c r="E36" s="77">
        <v>7565526.34</v>
      </c>
      <c r="F36" s="77">
        <v>7823490.98</v>
      </c>
    </row>
    <row r="37" spans="1:6" ht="16.5">
      <c r="A37" s="46" t="s">
        <v>197</v>
      </c>
      <c r="B37" s="47" t="s">
        <v>206</v>
      </c>
      <c r="C37" s="32">
        <v>800</v>
      </c>
      <c r="D37" s="60">
        <v>2600000</v>
      </c>
      <c r="E37" s="77">
        <v>0</v>
      </c>
      <c r="F37" s="77">
        <v>0</v>
      </c>
    </row>
    <row r="38" spans="1:6" ht="16.5">
      <c r="A38" s="59" t="s">
        <v>207</v>
      </c>
      <c r="B38" s="44" t="s">
        <v>208</v>
      </c>
      <c r="C38" s="45"/>
      <c r="D38" s="57">
        <f>SUM(D39:D43)</f>
        <v>67367126.57</v>
      </c>
      <c r="E38" s="57">
        <f>SUM(E39:E43)</f>
        <v>53051757.85</v>
      </c>
      <c r="F38" s="57">
        <f>SUM(F39:F43)</f>
        <v>53051757.85</v>
      </c>
    </row>
    <row r="39" spans="1:194" ht="67.5">
      <c r="A39" s="48" t="s">
        <v>194</v>
      </c>
      <c r="B39" s="47" t="s">
        <v>208</v>
      </c>
      <c r="C39" s="32">
        <v>100</v>
      </c>
      <c r="D39" s="330">
        <f>2959685+8848687.05+2958943.95-843370.74</f>
        <v>13923945.26</v>
      </c>
      <c r="E39" s="330">
        <v>0</v>
      </c>
      <c r="F39" s="330">
        <v>0</v>
      </c>
      <c r="GG39" s="1"/>
      <c r="GH39" s="1"/>
      <c r="GI39" s="1"/>
      <c r="GJ39" s="1"/>
      <c r="GK39" s="1"/>
      <c r="GL39" s="1"/>
    </row>
    <row r="40" spans="1:194" ht="33.75">
      <c r="A40" s="48" t="s">
        <v>195</v>
      </c>
      <c r="B40" s="47" t="s">
        <v>208</v>
      </c>
      <c r="C40" s="32">
        <v>200</v>
      </c>
      <c r="D40" s="330">
        <f>1872664+2958943.95+1193852.72+13938514+5143753.95-2958943.95+971100-257226.9</f>
        <v>22862657.770000003</v>
      </c>
      <c r="E40" s="330">
        <v>0</v>
      </c>
      <c r="F40" s="330">
        <v>0</v>
      </c>
      <c r="GG40" s="1"/>
      <c r="GH40" s="1"/>
      <c r="GI40" s="1"/>
      <c r="GJ40" s="1"/>
      <c r="GK40" s="1"/>
      <c r="GL40" s="1"/>
    </row>
    <row r="41" spans="1:256" s="28" customFormat="1" ht="24" customHeight="1" hidden="1">
      <c r="A41" s="48" t="s">
        <v>196</v>
      </c>
      <c r="B41" s="47" t="s">
        <v>208</v>
      </c>
      <c r="C41" s="32">
        <v>300</v>
      </c>
      <c r="D41" s="60"/>
      <c r="E41" s="60"/>
      <c r="F41" s="60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8" customFormat="1" ht="33.75">
      <c r="A42" s="46" t="s">
        <v>204</v>
      </c>
      <c r="B42" s="47" t="s">
        <v>208</v>
      </c>
      <c r="C42" s="32">
        <v>600</v>
      </c>
      <c r="D42" s="77">
        <f>14557686.2-530694.35+10865131.2+140000+8446272+8291400-10865131.2+100229.48-424369.79</f>
        <v>30580523.54</v>
      </c>
      <c r="E42" s="77">
        <f>14557686.2-530694.35</f>
        <v>14026991.85</v>
      </c>
      <c r="F42" s="77">
        <f>14557686.2-530694.35</f>
        <v>14026991.85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8" customFormat="1" ht="24" customHeight="1">
      <c r="A43" s="46" t="s">
        <v>197</v>
      </c>
      <c r="B43" s="47" t="s">
        <v>208</v>
      </c>
      <c r="C43" s="32">
        <v>800</v>
      </c>
      <c r="D43" s="77">
        <f>25746145+13278621-13278621-2958943.95-22787201.05+2958943.95-2958943.95</f>
        <v>0</v>
      </c>
      <c r="E43" s="77">
        <f>25746145+13278621</f>
        <v>39024766</v>
      </c>
      <c r="F43" s="77">
        <f>25746145+13278621</f>
        <v>39024766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6" ht="25.5" customHeight="1">
      <c r="A44" s="40" t="s">
        <v>209</v>
      </c>
      <c r="B44" s="41" t="s">
        <v>210</v>
      </c>
      <c r="C44" s="42"/>
      <c r="D44" s="61">
        <f>D45+D50+D53+D66+D64</f>
        <v>235896216.23000002</v>
      </c>
      <c r="E44" s="61">
        <f>E45+E50+E53+E66+E64</f>
        <v>236857200</v>
      </c>
      <c r="F44" s="61">
        <f>F45+F50+F53+F66+F64</f>
        <v>236857200</v>
      </c>
    </row>
    <row r="45" spans="1:6" ht="16.5">
      <c r="A45" s="62" t="s">
        <v>192</v>
      </c>
      <c r="B45" s="63" t="s">
        <v>211</v>
      </c>
      <c r="C45" s="35"/>
      <c r="D45" s="64">
        <f>SUM(D46:D49)</f>
        <v>39798667.53</v>
      </c>
      <c r="E45" s="64">
        <f>SUM(E46:E49)</f>
        <v>29915700</v>
      </c>
      <c r="F45" s="64">
        <f>SUM(F46:F49)</f>
        <v>29915700</v>
      </c>
    </row>
    <row r="46" spans="1:6" ht="75" customHeight="1">
      <c r="A46" s="46" t="s">
        <v>194</v>
      </c>
      <c r="B46" s="47" t="s">
        <v>211</v>
      </c>
      <c r="C46" s="32">
        <v>100</v>
      </c>
      <c r="D46" s="77">
        <f>22773700-100000-285677.91+739031.47-250000-63588.8-0.94-106310-269500-263200</f>
        <v>22174453.819999997</v>
      </c>
      <c r="E46" s="77">
        <v>22773700</v>
      </c>
      <c r="F46" s="77">
        <v>22773700</v>
      </c>
    </row>
    <row r="47" spans="1:6" ht="33.75">
      <c r="A47" s="48" t="s">
        <v>195</v>
      </c>
      <c r="B47" s="47" t="s">
        <v>211</v>
      </c>
      <c r="C47" s="32">
        <v>200</v>
      </c>
      <c r="D47" s="77">
        <f>7131700-440900-1484300+150000-50000+250000-5030+106310+269500+263200</f>
        <v>6190480</v>
      </c>
      <c r="E47" s="77">
        <v>7131700</v>
      </c>
      <c r="F47" s="77">
        <v>7131700</v>
      </c>
    </row>
    <row r="48" spans="1:6" ht="16.5">
      <c r="A48" s="48" t="s">
        <v>196</v>
      </c>
      <c r="B48" s="47" t="s">
        <v>211</v>
      </c>
      <c r="C48" s="32">
        <v>300</v>
      </c>
      <c r="D48" s="95">
        <f>285677.91+50000+63588.8</f>
        <v>399266.70999999996</v>
      </c>
      <c r="E48" s="77">
        <v>0</v>
      </c>
      <c r="F48" s="77">
        <v>0</v>
      </c>
    </row>
    <row r="49" spans="1:6" ht="16.5">
      <c r="A49" s="46" t="s">
        <v>197</v>
      </c>
      <c r="B49" s="47" t="s">
        <v>211</v>
      </c>
      <c r="C49" s="32">
        <v>800</v>
      </c>
      <c r="D49" s="77">
        <f>10300+11034467-10300</f>
        <v>11034467</v>
      </c>
      <c r="E49" s="77">
        <v>10300</v>
      </c>
      <c r="F49" s="77">
        <v>10300</v>
      </c>
    </row>
    <row r="50" spans="1:6" ht="16.5">
      <c r="A50" s="62" t="s">
        <v>212</v>
      </c>
      <c r="B50" s="63" t="s">
        <v>213</v>
      </c>
      <c r="C50" s="35"/>
      <c r="D50" s="64">
        <f>SUM(D51:D52)</f>
        <v>2248800</v>
      </c>
      <c r="E50" s="64">
        <f>SUM(E51:E52)</f>
        <v>2480300</v>
      </c>
      <c r="F50" s="64">
        <f>SUM(F51:F52)</f>
        <v>2480300</v>
      </c>
    </row>
    <row r="51" spans="1:6" ht="33.75">
      <c r="A51" s="48" t="s">
        <v>195</v>
      </c>
      <c r="B51" s="47" t="s">
        <v>213</v>
      </c>
      <c r="C51" s="32">
        <v>200</v>
      </c>
      <c r="D51" s="77">
        <f>2470300-231500</f>
        <v>2238800</v>
      </c>
      <c r="E51" s="77">
        <v>2470300</v>
      </c>
      <c r="F51" s="77">
        <v>2470300</v>
      </c>
    </row>
    <row r="52" spans="1:6" ht="16.5">
      <c r="A52" s="46" t="s">
        <v>197</v>
      </c>
      <c r="B52" s="47" t="s">
        <v>213</v>
      </c>
      <c r="C52" s="32">
        <v>800</v>
      </c>
      <c r="D52" s="77">
        <v>10000</v>
      </c>
      <c r="E52" s="77">
        <v>10000</v>
      </c>
      <c r="F52" s="77">
        <v>10000</v>
      </c>
    </row>
    <row r="53" spans="1:6" ht="51">
      <c r="A53" s="65" t="s">
        <v>214</v>
      </c>
      <c r="B53" s="63" t="s">
        <v>215</v>
      </c>
      <c r="C53" s="35"/>
      <c r="D53" s="64">
        <f>D54+D59</f>
        <v>100912676.55000001</v>
      </c>
      <c r="E53" s="64">
        <f>E54+E59</f>
        <v>107040400</v>
      </c>
      <c r="F53" s="64">
        <f>F54+F59</f>
        <v>107040400</v>
      </c>
    </row>
    <row r="54" spans="1:6" ht="16.5">
      <c r="A54" s="65" t="s">
        <v>640</v>
      </c>
      <c r="B54" s="63" t="s">
        <v>297</v>
      </c>
      <c r="C54" s="35"/>
      <c r="D54" s="64">
        <f>SUBTOTAL(9,D55:D58)</f>
        <v>79917494.15</v>
      </c>
      <c r="E54" s="64">
        <f>SUBTOTAL(9,E55:E58)</f>
        <v>83746900</v>
      </c>
      <c r="F54" s="64">
        <f>SUBTOTAL(9,F55:F58)</f>
        <v>83746900</v>
      </c>
    </row>
    <row r="55" spans="1:6" ht="67.5">
      <c r="A55" s="46" t="s">
        <v>194</v>
      </c>
      <c r="B55" s="47" t="s">
        <v>297</v>
      </c>
      <c r="C55" s="32">
        <v>100</v>
      </c>
      <c r="D55" s="77">
        <f>63476900-200000+66917.59-462342-93183.6-452823.44</f>
        <v>62335468.550000004</v>
      </c>
      <c r="E55" s="77">
        <v>63476900</v>
      </c>
      <c r="F55" s="77">
        <v>63476900</v>
      </c>
    </row>
    <row r="56" spans="1:6" ht="33.75">
      <c r="A56" s="48" t="s">
        <v>195</v>
      </c>
      <c r="B56" s="47" t="s">
        <v>297</v>
      </c>
      <c r="C56" s="32">
        <v>200</v>
      </c>
      <c r="D56" s="77">
        <f>19748900-3606400-385100-50000-240000-3000+462342+748000</f>
        <v>16674742</v>
      </c>
      <c r="E56" s="77">
        <v>19748900</v>
      </c>
      <c r="F56" s="77">
        <v>19748900</v>
      </c>
    </row>
    <row r="57" spans="1:6" ht="16.5">
      <c r="A57" s="48" t="s">
        <v>196</v>
      </c>
      <c r="B57" s="47" t="s">
        <v>297</v>
      </c>
      <c r="C57" s="32">
        <v>300</v>
      </c>
      <c r="D57" s="77">
        <f>50000+93183.6</f>
        <v>143183.6</v>
      </c>
      <c r="E57" s="77">
        <v>0</v>
      </c>
      <c r="F57" s="77">
        <v>0</v>
      </c>
    </row>
    <row r="58" spans="1:6" ht="16.5">
      <c r="A58" s="46" t="s">
        <v>197</v>
      </c>
      <c r="B58" s="47" t="s">
        <v>297</v>
      </c>
      <c r="C58" s="32">
        <v>800</v>
      </c>
      <c r="D58" s="77">
        <f>521100+240000+3000</f>
        <v>764100</v>
      </c>
      <c r="E58" s="77">
        <v>521100</v>
      </c>
      <c r="F58" s="77">
        <v>521100</v>
      </c>
    </row>
    <row r="59" spans="1:6" ht="16.5">
      <c r="A59" s="66" t="s">
        <v>641</v>
      </c>
      <c r="B59" s="63" t="s">
        <v>298</v>
      </c>
      <c r="C59" s="35"/>
      <c r="D59" s="331">
        <f>SUBTOTAL(9,D60:D63)</f>
        <v>20995182.4</v>
      </c>
      <c r="E59" s="331">
        <f>SUBTOTAL(9,E60:E63)</f>
        <v>23293500</v>
      </c>
      <c r="F59" s="331">
        <f>SUBTOTAL(9,F60:F63)</f>
        <v>23293500</v>
      </c>
    </row>
    <row r="60" spans="1:6" ht="67.5">
      <c r="A60" s="46" t="s">
        <v>194</v>
      </c>
      <c r="B60" s="47" t="s">
        <v>298</v>
      </c>
      <c r="C60" s="32">
        <v>100</v>
      </c>
      <c r="D60" s="77">
        <f>20169700-186000-436734.6</f>
        <v>19546965.4</v>
      </c>
      <c r="E60" s="77">
        <v>20169700</v>
      </c>
      <c r="F60" s="77">
        <v>20169700</v>
      </c>
    </row>
    <row r="61" spans="1:6" ht="33.75">
      <c r="A61" s="48" t="s">
        <v>195</v>
      </c>
      <c r="B61" s="47" t="s">
        <v>298</v>
      </c>
      <c r="C61" s="32">
        <v>200</v>
      </c>
      <c r="D61" s="77">
        <f>3036200-700300-981900</f>
        <v>1354000</v>
      </c>
      <c r="E61" s="77">
        <v>3036200</v>
      </c>
      <c r="F61" s="77">
        <v>3036200</v>
      </c>
    </row>
    <row r="62" spans="1:6" ht="16.5">
      <c r="A62" s="48" t="s">
        <v>196</v>
      </c>
      <c r="B62" s="47" t="s">
        <v>298</v>
      </c>
      <c r="C62" s="32">
        <v>300</v>
      </c>
      <c r="D62" s="77">
        <f>186000-99518</f>
        <v>86482</v>
      </c>
      <c r="E62" s="77"/>
      <c r="F62" s="77"/>
    </row>
    <row r="63" spans="1:6" ht="16.5">
      <c r="A63" s="46" t="s">
        <v>197</v>
      </c>
      <c r="B63" s="47" t="s">
        <v>298</v>
      </c>
      <c r="C63" s="32">
        <v>800</v>
      </c>
      <c r="D63" s="77">
        <f>87600-79865</f>
        <v>7735</v>
      </c>
      <c r="E63" s="77">
        <v>87600</v>
      </c>
      <c r="F63" s="77">
        <v>87600</v>
      </c>
    </row>
    <row r="64" spans="1:6" ht="33.75" hidden="1">
      <c r="A64" s="67" t="s">
        <v>218</v>
      </c>
      <c r="B64" s="63" t="s">
        <v>219</v>
      </c>
      <c r="C64" s="35"/>
      <c r="D64" s="221">
        <f>D65</f>
        <v>0</v>
      </c>
      <c r="E64" s="221">
        <f>E65</f>
        <v>0</v>
      </c>
      <c r="F64" s="221">
        <f>F65</f>
        <v>0</v>
      </c>
    </row>
    <row r="65" spans="1:6" ht="33.75" hidden="1">
      <c r="A65" s="46" t="s">
        <v>220</v>
      </c>
      <c r="B65" s="47" t="s">
        <v>219</v>
      </c>
      <c r="C65" s="32">
        <v>400</v>
      </c>
      <c r="D65" s="77">
        <v>0</v>
      </c>
      <c r="E65" s="77">
        <v>0</v>
      </c>
      <c r="F65" s="77">
        <v>0</v>
      </c>
    </row>
    <row r="66" spans="1:6" ht="16.5">
      <c r="A66" s="66" t="s">
        <v>205</v>
      </c>
      <c r="B66" s="63" t="s">
        <v>206</v>
      </c>
      <c r="C66" s="35"/>
      <c r="D66" s="64">
        <f>SUM(D67:D70)</f>
        <v>92936072.15</v>
      </c>
      <c r="E66" s="64">
        <f>SUM(E67:E70)</f>
        <v>97420800</v>
      </c>
      <c r="F66" s="64">
        <f>SUM(F67:F70)</f>
        <v>97420800</v>
      </c>
    </row>
    <row r="67" spans="1:6" ht="67.5">
      <c r="A67" s="48" t="s">
        <v>194</v>
      </c>
      <c r="B67" s="47" t="s">
        <v>206</v>
      </c>
      <c r="C67" s="32">
        <v>100</v>
      </c>
      <c r="D67" s="77">
        <f>86918500-95000+618589.73-238555-632985-1055517.58-50000</f>
        <v>85465032.15</v>
      </c>
      <c r="E67" s="77">
        <v>86918500</v>
      </c>
      <c r="F67" s="77">
        <v>86918500</v>
      </c>
    </row>
    <row r="68" spans="1:6" ht="33.75">
      <c r="A68" s="48" t="s">
        <v>195</v>
      </c>
      <c r="B68" s="47" t="s">
        <v>206</v>
      </c>
      <c r="C68" s="32">
        <v>200</v>
      </c>
      <c r="D68" s="77">
        <f>10476500-2794800-1223000-90937.63-50000+632985-38637-4873-30000</f>
        <v>6877237.37</v>
      </c>
      <c r="E68" s="77">
        <v>10476500</v>
      </c>
      <c r="F68" s="77">
        <v>10476500</v>
      </c>
    </row>
    <row r="69" spans="1:6" ht="16.5">
      <c r="A69" s="48" t="s">
        <v>196</v>
      </c>
      <c r="B69" s="47" t="s">
        <v>206</v>
      </c>
      <c r="C69" s="32">
        <v>300</v>
      </c>
      <c r="D69" s="77">
        <f>90937.63+50000+238555+50000</f>
        <v>429492.63</v>
      </c>
      <c r="E69" s="77">
        <v>0</v>
      </c>
      <c r="F69" s="77">
        <v>0</v>
      </c>
    </row>
    <row r="70" spans="1:6" ht="16.5">
      <c r="A70" s="46" t="s">
        <v>197</v>
      </c>
      <c r="B70" s="47" t="s">
        <v>206</v>
      </c>
      <c r="C70" s="32">
        <v>800</v>
      </c>
      <c r="D70" s="77">
        <f>25800+95000+38637+4873</f>
        <v>164310</v>
      </c>
      <c r="E70" s="77">
        <v>25800</v>
      </c>
      <c r="F70" s="77">
        <v>25800</v>
      </c>
    </row>
    <row r="71" spans="1:6" ht="31.5" customHeight="1">
      <c r="A71" s="40" t="s">
        <v>221</v>
      </c>
      <c r="B71" s="41" t="s">
        <v>222</v>
      </c>
      <c r="C71" s="42"/>
      <c r="D71" s="61">
        <f>D72</f>
        <v>4201440</v>
      </c>
      <c r="E71" s="61">
        <f>E72</f>
        <v>4716760</v>
      </c>
      <c r="F71" s="61">
        <f>F72</f>
        <v>4716760</v>
      </c>
    </row>
    <row r="72" spans="1:6" ht="16.5">
      <c r="A72" s="66" t="s">
        <v>223</v>
      </c>
      <c r="B72" s="63" t="s">
        <v>224</v>
      </c>
      <c r="C72" s="35"/>
      <c r="D72" s="64">
        <f>D73+D74+D75</f>
        <v>4201440</v>
      </c>
      <c r="E72" s="64">
        <f>E73+E74+E75</f>
        <v>4716760</v>
      </c>
      <c r="F72" s="64">
        <f>F73+F74+F75</f>
        <v>4716760</v>
      </c>
    </row>
    <row r="73" spans="1:6" ht="33.75" hidden="1">
      <c r="A73" s="46" t="s">
        <v>195</v>
      </c>
      <c r="B73" s="47" t="s">
        <v>224</v>
      </c>
      <c r="C73" s="32">
        <v>200</v>
      </c>
      <c r="D73" s="77"/>
      <c r="E73" s="77"/>
      <c r="F73" s="77">
        <v>0</v>
      </c>
    </row>
    <row r="74" spans="1:6" ht="16.5">
      <c r="A74" s="48" t="s">
        <v>196</v>
      </c>
      <c r="B74" s="47" t="s">
        <v>224</v>
      </c>
      <c r="C74" s="32">
        <v>300</v>
      </c>
      <c r="D74" s="77">
        <f>416760-83760-333000</f>
        <v>0</v>
      </c>
      <c r="E74" s="77">
        <v>416760</v>
      </c>
      <c r="F74" s="77">
        <v>416760</v>
      </c>
    </row>
    <row r="75" spans="1:6" ht="26.25" customHeight="1">
      <c r="A75" s="46" t="s">
        <v>197</v>
      </c>
      <c r="B75" s="47" t="s">
        <v>224</v>
      </c>
      <c r="C75" s="32">
        <v>800</v>
      </c>
      <c r="D75" s="77">
        <f>4300000-98560</f>
        <v>4201440</v>
      </c>
      <c r="E75" s="77">
        <v>4300000</v>
      </c>
      <c r="F75" s="77">
        <v>4300000</v>
      </c>
    </row>
    <row r="76" spans="1:6" ht="51">
      <c r="A76" s="68" t="s">
        <v>225</v>
      </c>
      <c r="B76" s="69" t="s">
        <v>226</v>
      </c>
      <c r="C76" s="69"/>
      <c r="D76" s="61">
        <f>D77+D80</f>
        <v>97241734.25999999</v>
      </c>
      <c r="E76" s="61">
        <f>E77+E80</f>
        <v>61634121.07</v>
      </c>
      <c r="F76" s="61">
        <f>F77+F80</f>
        <v>62525602.43</v>
      </c>
    </row>
    <row r="77" spans="1:6" ht="16.5">
      <c r="A77" s="70" t="s">
        <v>227</v>
      </c>
      <c r="B77" s="71" t="s">
        <v>228</v>
      </c>
      <c r="C77" s="71"/>
      <c r="D77" s="64">
        <f>SUM(D78:D79)</f>
        <v>1390869.19</v>
      </c>
      <c r="E77" s="64">
        <f>SUM(E78:E79)</f>
        <v>2491566.61</v>
      </c>
      <c r="F77" s="64">
        <f>SUM(F78:F79)</f>
        <v>2491566.61</v>
      </c>
    </row>
    <row r="78" spans="1:6" ht="67.5">
      <c r="A78" s="48" t="s">
        <v>194</v>
      </c>
      <c r="B78" s="72" t="s">
        <v>228</v>
      </c>
      <c r="C78" s="72" t="s">
        <v>229</v>
      </c>
      <c r="D78" s="77">
        <f>1295346.42-486623.22-97324.54-516749.66</f>
        <v>194648.99999999994</v>
      </c>
      <c r="E78" s="77">
        <v>1295346.42</v>
      </c>
      <c r="F78" s="77">
        <v>1295346.42</v>
      </c>
    </row>
    <row r="79" spans="1:6" ht="33.75">
      <c r="A79" s="46" t="s">
        <v>195</v>
      </c>
      <c r="B79" s="72" t="s">
        <v>228</v>
      </c>
      <c r="C79" s="73">
        <v>200</v>
      </c>
      <c r="D79" s="77">
        <f>1196220.19</f>
        <v>1196220.19</v>
      </c>
      <c r="E79" s="60">
        <v>1196220.19</v>
      </c>
      <c r="F79" s="77">
        <v>1196220.19</v>
      </c>
    </row>
    <row r="80" spans="1:194" s="37" customFormat="1" ht="33.75">
      <c r="A80" s="66" t="s">
        <v>300</v>
      </c>
      <c r="B80" s="71" t="s">
        <v>299</v>
      </c>
      <c r="C80" s="74"/>
      <c r="D80" s="221">
        <f>D81+D83+D85+D87+D89</f>
        <v>95850865.07</v>
      </c>
      <c r="E80" s="221">
        <f>E81+E83+E85+E87+E89</f>
        <v>59142554.46</v>
      </c>
      <c r="F80" s="221">
        <f>F81+F83+F85+F87+F89</f>
        <v>60034035.82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GG80" s="39"/>
      <c r="GH80" s="39"/>
      <c r="GI80" s="39"/>
      <c r="GJ80" s="39"/>
      <c r="GK80" s="39"/>
      <c r="GL80" s="39"/>
    </row>
    <row r="81" spans="1:256" s="39" customFormat="1" ht="16.5">
      <c r="A81" s="66" t="s">
        <v>301</v>
      </c>
      <c r="B81" s="71" t="s">
        <v>299</v>
      </c>
      <c r="C81" s="74"/>
      <c r="D81" s="64">
        <f>D82</f>
        <v>58631375</v>
      </c>
      <c r="E81" s="64">
        <f>E82</f>
        <v>23413525</v>
      </c>
      <c r="F81" s="64">
        <f>F82</f>
        <v>23413525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6" ht="16.5">
      <c r="A82" s="46" t="s">
        <v>197</v>
      </c>
      <c r="B82" s="72" t="s">
        <v>299</v>
      </c>
      <c r="C82" s="73">
        <v>800</v>
      </c>
      <c r="D82" s="77">
        <f>131146375-95000000-3325000+25095000+715000</f>
        <v>58631375</v>
      </c>
      <c r="E82" s="60">
        <v>23413525</v>
      </c>
      <c r="F82" s="77">
        <v>23413525</v>
      </c>
    </row>
    <row r="83" spans="1:256" ht="16.5">
      <c r="A83" s="66" t="s">
        <v>648</v>
      </c>
      <c r="B83" s="71" t="s">
        <v>299</v>
      </c>
      <c r="C83" s="74"/>
      <c r="D83" s="221">
        <f>D84</f>
        <v>4019498</v>
      </c>
      <c r="E83" s="221">
        <f>E84</f>
        <v>0</v>
      </c>
      <c r="F83" s="221">
        <f>F84</f>
        <v>4019498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6" ht="16.5">
      <c r="A84" s="46" t="s">
        <v>197</v>
      </c>
      <c r="B84" s="72" t="s">
        <v>299</v>
      </c>
      <c r="C84" s="73">
        <v>800</v>
      </c>
      <c r="D84" s="77">
        <v>4019498</v>
      </c>
      <c r="E84" s="77">
        <v>0</v>
      </c>
      <c r="F84" s="77">
        <v>4019498</v>
      </c>
    </row>
    <row r="85" spans="1:6" ht="22.5" customHeight="1">
      <c r="A85" s="70" t="s">
        <v>230</v>
      </c>
      <c r="B85" s="71" t="s">
        <v>299</v>
      </c>
      <c r="C85" s="71"/>
      <c r="D85" s="64">
        <f>SUM(D86)</f>
        <v>12802662.07</v>
      </c>
      <c r="E85" s="64">
        <f>SUM(E86)</f>
        <v>16766929.46</v>
      </c>
      <c r="F85" s="64">
        <f>SUM(F86)</f>
        <v>13638912.82</v>
      </c>
    </row>
    <row r="86" spans="1:6" ht="20.25" customHeight="1">
      <c r="A86" s="46" t="s">
        <v>197</v>
      </c>
      <c r="B86" s="72" t="s">
        <v>299</v>
      </c>
      <c r="C86" s="72" t="s">
        <v>231</v>
      </c>
      <c r="D86" s="77">
        <f>55177938.33-19165083.36-13390250-3133100-11500000+6260234.8-1447077.7</f>
        <v>12802662.07</v>
      </c>
      <c r="E86" s="60">
        <f>4053829.46+9580000+3133100</f>
        <v>16766929.46</v>
      </c>
      <c r="F86" s="77">
        <f>4053829.46+9585083.36</f>
        <v>13638912.82</v>
      </c>
    </row>
    <row r="87" spans="1:6" ht="51">
      <c r="A87" s="66" t="s">
        <v>302</v>
      </c>
      <c r="B87" s="71" t="s">
        <v>299</v>
      </c>
      <c r="C87" s="72"/>
      <c r="D87" s="64">
        <f>D88</f>
        <v>10000000</v>
      </c>
      <c r="E87" s="64">
        <f>E88</f>
        <v>10000000</v>
      </c>
      <c r="F87" s="64">
        <f>F88</f>
        <v>10000000</v>
      </c>
    </row>
    <row r="88" spans="1:6" ht="16.5">
      <c r="A88" s="46" t="s">
        <v>197</v>
      </c>
      <c r="B88" s="72" t="s">
        <v>299</v>
      </c>
      <c r="C88" s="72" t="s">
        <v>231</v>
      </c>
      <c r="D88" s="77">
        <v>10000000</v>
      </c>
      <c r="E88" s="77">
        <v>10000000</v>
      </c>
      <c r="F88" s="77">
        <v>10000000</v>
      </c>
    </row>
    <row r="89" spans="1:256" s="39" customFormat="1" ht="16.5">
      <c r="A89" s="66" t="s">
        <v>232</v>
      </c>
      <c r="B89" s="71" t="s">
        <v>299</v>
      </c>
      <c r="C89" s="71"/>
      <c r="D89" s="64">
        <f>D90</f>
        <v>10397330</v>
      </c>
      <c r="E89" s="64">
        <f>E90</f>
        <v>8962100</v>
      </c>
      <c r="F89" s="64">
        <f>F90</f>
        <v>8962100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6" ht="16.5">
      <c r="A90" s="46" t="s">
        <v>197</v>
      </c>
      <c r="B90" s="72" t="s">
        <v>299</v>
      </c>
      <c r="C90" s="72" t="s">
        <v>231</v>
      </c>
      <c r="D90" s="77">
        <f>11112330-715000</f>
        <v>10397330</v>
      </c>
      <c r="E90" s="60">
        <v>8962100</v>
      </c>
      <c r="F90" s="77">
        <v>8962100</v>
      </c>
    </row>
    <row r="91" spans="1:6" ht="33.75">
      <c r="A91" s="40" t="s">
        <v>233</v>
      </c>
      <c r="B91" s="41" t="s">
        <v>234</v>
      </c>
      <c r="C91" s="42"/>
      <c r="D91" s="61">
        <f>D92+D94+D97</f>
        <v>142996266.26</v>
      </c>
      <c r="E91" s="61">
        <f>E92+E94+E97</f>
        <v>32605434.5</v>
      </c>
      <c r="F91" s="61">
        <f>F92+F94+F97</f>
        <v>32605434.5</v>
      </c>
    </row>
    <row r="92" spans="1:256" s="75" customFormat="1" ht="16.5">
      <c r="A92" s="66" t="s">
        <v>235</v>
      </c>
      <c r="B92" s="63" t="s">
        <v>236</v>
      </c>
      <c r="C92" s="35"/>
      <c r="D92" s="64">
        <f>D93</f>
        <v>2000000</v>
      </c>
      <c r="E92" s="64">
        <f>E93</f>
        <v>4000000</v>
      </c>
      <c r="F92" s="64">
        <f>F93</f>
        <v>4000000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s="76" customFormat="1" ht="16.5">
      <c r="A93" s="46" t="s">
        <v>197</v>
      </c>
      <c r="B93" s="47" t="s">
        <v>236</v>
      </c>
      <c r="C93" s="32">
        <v>800</v>
      </c>
      <c r="D93" s="77">
        <f>4000000-2000000</f>
        <v>2000000</v>
      </c>
      <c r="E93" s="77">
        <v>4000000</v>
      </c>
      <c r="F93" s="77">
        <v>4000000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6" ht="19.5" customHeight="1">
      <c r="A94" s="66" t="s">
        <v>237</v>
      </c>
      <c r="B94" s="63" t="s">
        <v>238</v>
      </c>
      <c r="C94" s="35"/>
      <c r="D94" s="64">
        <f>D95+D96</f>
        <v>17720000</v>
      </c>
      <c r="E94" s="64">
        <f>E95+E96</f>
        <v>13150000</v>
      </c>
      <c r="F94" s="64">
        <f>F95+F96</f>
        <v>13150000</v>
      </c>
    </row>
    <row r="95" spans="1:6" ht="32.25" customHeight="1">
      <c r="A95" s="48" t="s">
        <v>195</v>
      </c>
      <c r="B95" s="47" t="s">
        <v>238</v>
      </c>
      <c r="C95" s="32">
        <v>200</v>
      </c>
      <c r="D95" s="77">
        <f>150000-150000</f>
        <v>0</v>
      </c>
      <c r="E95" s="77">
        <v>150000</v>
      </c>
      <c r="F95" s="77">
        <v>150000</v>
      </c>
    </row>
    <row r="96" spans="1:6" ht="18.75" customHeight="1">
      <c r="A96" s="46" t="s">
        <v>197</v>
      </c>
      <c r="B96" s="47" t="s">
        <v>238</v>
      </c>
      <c r="C96" s="32">
        <v>800</v>
      </c>
      <c r="D96" s="77">
        <f>13000000+2596000+2124000</f>
        <v>17720000</v>
      </c>
      <c r="E96" s="77">
        <v>13000000</v>
      </c>
      <c r="F96" s="77">
        <v>13000000</v>
      </c>
    </row>
    <row r="97" spans="1:6" ht="17.25" customHeight="1">
      <c r="A97" s="66" t="s">
        <v>239</v>
      </c>
      <c r="B97" s="63" t="s">
        <v>240</v>
      </c>
      <c r="C97" s="35"/>
      <c r="D97" s="64">
        <f>D98</f>
        <v>123276266.25999998</v>
      </c>
      <c r="E97" s="64">
        <f>E98</f>
        <v>15455434.5</v>
      </c>
      <c r="F97" s="64">
        <f>F98</f>
        <v>15455434.5</v>
      </c>
    </row>
    <row r="98" spans="1:6" ht="33.75">
      <c r="A98" s="48" t="s">
        <v>195</v>
      </c>
      <c r="B98" s="47" t="s">
        <v>240</v>
      </c>
      <c r="C98" s="32">
        <v>200</v>
      </c>
      <c r="D98" s="77">
        <f>168911181.45-23608969.12+23608969.12-37718752.92-1373695.51-6542466.76</f>
        <v>123276266.25999998</v>
      </c>
      <c r="E98" s="77">
        <v>15455434.5</v>
      </c>
      <c r="F98" s="77">
        <v>15455434.5</v>
      </c>
    </row>
    <row r="99" spans="1:6" ht="40.5" customHeight="1">
      <c r="A99" s="40" t="s">
        <v>241</v>
      </c>
      <c r="B99" s="41" t="s">
        <v>242</v>
      </c>
      <c r="C99" s="42"/>
      <c r="D99" s="61">
        <f>D100+D103+D112+D115+D107</f>
        <v>32153903.590000004</v>
      </c>
      <c r="E99" s="61">
        <f>E100+E103+E112+E115+E107</f>
        <v>31909594.68</v>
      </c>
      <c r="F99" s="61">
        <f>F100+F103+F112+F115+F107</f>
        <v>31909594.68</v>
      </c>
    </row>
    <row r="100" spans="1:6" ht="16.5">
      <c r="A100" s="66" t="s">
        <v>192</v>
      </c>
      <c r="B100" s="63" t="s">
        <v>243</v>
      </c>
      <c r="C100" s="35"/>
      <c r="D100" s="64">
        <f>D101+D102</f>
        <v>17938102.19</v>
      </c>
      <c r="E100" s="64">
        <f>E101+E102</f>
        <v>14522840.35</v>
      </c>
      <c r="F100" s="64">
        <f>F101+F102</f>
        <v>14522840.35</v>
      </c>
    </row>
    <row r="101" spans="1:6" ht="78" customHeight="1">
      <c r="A101" s="46" t="s">
        <v>194</v>
      </c>
      <c r="B101" s="47" t="s">
        <v>243</v>
      </c>
      <c r="C101" s="32">
        <v>100</v>
      </c>
      <c r="D101" s="77">
        <f>13499397.1+1006547+897573.72+369127.35-379330.1+563873.82</f>
        <v>15957188.89</v>
      </c>
      <c r="E101" s="77">
        <v>13523598.93</v>
      </c>
      <c r="F101" s="77">
        <v>13523598.93</v>
      </c>
    </row>
    <row r="102" spans="1:6" ht="33.75">
      <c r="A102" s="48" t="s">
        <v>195</v>
      </c>
      <c r="B102" s="47" t="s">
        <v>243</v>
      </c>
      <c r="C102" s="32">
        <v>200</v>
      </c>
      <c r="D102" s="77">
        <f>932959.35-247977.65+1419861.6-123930</f>
        <v>1980913.2999999998</v>
      </c>
      <c r="E102" s="77">
        <v>999241.42</v>
      </c>
      <c r="F102" s="77">
        <v>999241.42</v>
      </c>
    </row>
    <row r="103" spans="1:6" ht="31.5" customHeight="1">
      <c r="A103" s="66" t="s">
        <v>244</v>
      </c>
      <c r="B103" s="63" t="s">
        <v>245</v>
      </c>
      <c r="C103" s="35"/>
      <c r="D103" s="64">
        <f>D105+D106+D104</f>
        <v>10269397.62</v>
      </c>
      <c r="E103" s="64">
        <f>E105+E106+E104</f>
        <v>13290057.32</v>
      </c>
      <c r="F103" s="64">
        <f>F105+F106+F104</f>
        <v>13290057.32</v>
      </c>
    </row>
    <row r="104" spans="1:6" ht="77.25" customHeight="1">
      <c r="A104" s="46" t="s">
        <v>194</v>
      </c>
      <c r="B104" s="47" t="s">
        <v>245</v>
      </c>
      <c r="C104" s="32">
        <v>100</v>
      </c>
      <c r="D104" s="77">
        <f>457203.75</f>
        <v>457203.75</v>
      </c>
      <c r="E104" s="77">
        <v>475491.9</v>
      </c>
      <c r="F104" s="77">
        <v>475491.9</v>
      </c>
    </row>
    <row r="105" spans="1:6" ht="33.75" customHeight="1">
      <c r="A105" s="48" t="s">
        <v>195</v>
      </c>
      <c r="B105" s="47" t="s">
        <v>245</v>
      </c>
      <c r="C105" s="32">
        <v>200</v>
      </c>
      <c r="D105" s="77">
        <f>3727843.53-1099.66</f>
        <v>3726743.8699999996</v>
      </c>
      <c r="E105" s="77">
        <v>3865609.31</v>
      </c>
      <c r="F105" s="77">
        <v>3865609.31</v>
      </c>
    </row>
    <row r="106" spans="1:6" ht="16.5">
      <c r="A106" s="48" t="s">
        <v>196</v>
      </c>
      <c r="B106" s="47" t="s">
        <v>245</v>
      </c>
      <c r="C106" s="32">
        <v>300</v>
      </c>
      <c r="D106" s="77">
        <f>8780848.68-2695398.68</f>
        <v>6085450</v>
      </c>
      <c r="E106" s="77">
        <v>8948956.11</v>
      </c>
      <c r="F106" s="77">
        <v>8948956.11</v>
      </c>
    </row>
    <row r="107" spans="1:256" ht="33.75">
      <c r="A107" s="66" t="s">
        <v>246</v>
      </c>
      <c r="B107" s="63" t="s">
        <v>247</v>
      </c>
      <c r="C107" s="35"/>
      <c r="D107" s="64">
        <f>SUM(D108:D111)</f>
        <v>782796.2</v>
      </c>
      <c r="E107" s="64">
        <f>SUM(E108:E111)</f>
        <v>829984.79</v>
      </c>
      <c r="F107" s="64">
        <f>SUM(F108:F111)</f>
        <v>829984.79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6" ht="33.75">
      <c r="A108" s="48" t="s">
        <v>195</v>
      </c>
      <c r="B108" s="47" t="s">
        <v>247</v>
      </c>
      <c r="C108" s="32">
        <v>200</v>
      </c>
      <c r="D108" s="77">
        <f>264211.76-1039.56</f>
        <v>263172.2</v>
      </c>
      <c r="E108" s="77">
        <v>272138.11</v>
      </c>
      <c r="F108" s="77">
        <v>272138.11</v>
      </c>
    </row>
    <row r="109" spans="1:6" ht="16.5">
      <c r="A109" s="46" t="s">
        <v>196</v>
      </c>
      <c r="B109" s="47" t="s">
        <v>247</v>
      </c>
      <c r="C109" s="32">
        <v>300</v>
      </c>
      <c r="D109" s="77">
        <f>541598.72-21974.72</f>
        <v>519624</v>
      </c>
      <c r="E109" s="332">
        <v>186531.68</v>
      </c>
      <c r="F109" s="332">
        <v>186531.68</v>
      </c>
    </row>
    <row r="110" spans="1:6" ht="33.75">
      <c r="A110" s="46" t="s">
        <v>204</v>
      </c>
      <c r="B110" s="47" t="s">
        <v>247</v>
      </c>
      <c r="C110" s="32">
        <v>600</v>
      </c>
      <c r="D110" s="77"/>
      <c r="E110" s="77">
        <v>371315</v>
      </c>
      <c r="F110" s="77">
        <v>371315</v>
      </c>
    </row>
    <row r="111" spans="1:6" ht="16.5" hidden="1">
      <c r="A111" s="46" t="s">
        <v>197</v>
      </c>
      <c r="B111" s="47" t="s">
        <v>247</v>
      </c>
      <c r="C111" s="32">
        <v>800</v>
      </c>
      <c r="D111" s="77">
        <f>350000-350000</f>
        <v>0</v>
      </c>
      <c r="E111" s="77">
        <v>0</v>
      </c>
      <c r="F111" s="77">
        <v>0</v>
      </c>
    </row>
    <row r="112" spans="1:256" s="39" customFormat="1" ht="16.5">
      <c r="A112" s="70" t="s">
        <v>248</v>
      </c>
      <c r="B112" s="63" t="s">
        <v>249</v>
      </c>
      <c r="C112" s="35"/>
      <c r="D112" s="64">
        <f>D113+D114</f>
        <v>2162313.69</v>
      </c>
      <c r="E112" s="64">
        <f>E113+E114</f>
        <v>2233711.13</v>
      </c>
      <c r="F112" s="64">
        <f>F113+F114</f>
        <v>2233711.13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6" ht="33.75">
      <c r="A113" s="48" t="s">
        <v>195</v>
      </c>
      <c r="B113" s="47" t="s">
        <v>249</v>
      </c>
      <c r="C113" s="32">
        <v>200</v>
      </c>
      <c r="D113" s="77">
        <f>1318401.77+164943-0.08+19796.82</f>
        <v>1503141.51</v>
      </c>
      <c r="E113" s="77">
        <v>1358999.13</v>
      </c>
      <c r="F113" s="77">
        <v>1358999.13</v>
      </c>
    </row>
    <row r="114" spans="1:6" ht="16.5">
      <c r="A114" s="48" t="s">
        <v>196</v>
      </c>
      <c r="B114" s="47" t="s">
        <v>249</v>
      </c>
      <c r="C114" s="32">
        <v>300</v>
      </c>
      <c r="D114" s="77">
        <f>874712-164943-30800-19796.82</f>
        <v>659172.18</v>
      </c>
      <c r="E114" s="77">
        <v>874712</v>
      </c>
      <c r="F114" s="77">
        <v>874712</v>
      </c>
    </row>
    <row r="115" spans="1:6" ht="34.5" customHeight="1">
      <c r="A115" s="70" t="s">
        <v>250</v>
      </c>
      <c r="B115" s="71" t="s">
        <v>251</v>
      </c>
      <c r="C115" s="71"/>
      <c r="D115" s="64">
        <f>D116</f>
        <v>1001293.89</v>
      </c>
      <c r="E115" s="64">
        <f>E116</f>
        <v>1033001.09</v>
      </c>
      <c r="F115" s="64">
        <f>F116</f>
        <v>1033001.09</v>
      </c>
    </row>
    <row r="116" spans="1:6" ht="30" customHeight="1">
      <c r="A116" s="48" t="s">
        <v>195</v>
      </c>
      <c r="B116" s="72" t="s">
        <v>251</v>
      </c>
      <c r="C116" s="72" t="s">
        <v>252</v>
      </c>
      <c r="D116" s="77">
        <v>1001293.89</v>
      </c>
      <c r="E116" s="77">
        <v>1033001.09</v>
      </c>
      <c r="F116" s="77">
        <v>1033001.09</v>
      </c>
    </row>
    <row r="117" spans="1:6" ht="16.5">
      <c r="A117" s="68" t="s">
        <v>253</v>
      </c>
      <c r="B117" s="69" t="s">
        <v>254</v>
      </c>
      <c r="C117" s="69"/>
      <c r="D117" s="61">
        <f>D118+D121</f>
        <v>9980364</v>
      </c>
      <c r="E117" s="61">
        <f>E118+E121</f>
        <v>11561387.1</v>
      </c>
      <c r="F117" s="61">
        <f>F118+F121</f>
        <v>11369855.85</v>
      </c>
    </row>
    <row r="118" spans="1:256" s="39" customFormat="1" ht="16.5">
      <c r="A118" s="70" t="s">
        <v>255</v>
      </c>
      <c r="B118" s="71" t="s">
        <v>256</v>
      </c>
      <c r="C118" s="71"/>
      <c r="D118" s="64">
        <f>D120+D119</f>
        <v>9306382</v>
      </c>
      <c r="E118" s="64">
        <f>E120+E119</f>
        <v>8990000</v>
      </c>
      <c r="F118" s="64">
        <f>F120+F119</f>
        <v>8990000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</row>
    <row r="119" spans="1:256" s="39" customFormat="1" ht="33.75" customHeight="1">
      <c r="A119" s="48" t="s">
        <v>195</v>
      </c>
      <c r="B119" s="72" t="s">
        <v>256</v>
      </c>
      <c r="C119" s="72" t="s">
        <v>252</v>
      </c>
      <c r="D119" s="77">
        <v>194000</v>
      </c>
      <c r="E119" s="77">
        <v>194000</v>
      </c>
      <c r="F119" s="77">
        <v>194000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6" ht="16.5">
      <c r="A120" s="48" t="s">
        <v>196</v>
      </c>
      <c r="B120" s="72" t="s">
        <v>256</v>
      </c>
      <c r="C120" s="72" t="s">
        <v>257</v>
      </c>
      <c r="D120" s="77">
        <f>8593830+781552-194000-69000</f>
        <v>9112382</v>
      </c>
      <c r="E120" s="77">
        <v>8796000</v>
      </c>
      <c r="F120" s="77">
        <v>8796000</v>
      </c>
    </row>
    <row r="121" spans="1:256" ht="16.5">
      <c r="A121" s="70" t="s">
        <v>258</v>
      </c>
      <c r="B121" s="71" t="s">
        <v>259</v>
      </c>
      <c r="C121" s="71"/>
      <c r="D121" s="64">
        <f>SUBTOTAL(9,D122:D124)</f>
        <v>673981.9999999999</v>
      </c>
      <c r="E121" s="64">
        <f>SUBTOTAL(9,E122:E124)</f>
        <v>2571387.1</v>
      </c>
      <c r="F121" s="64">
        <f>SUBTOTAL(9,F122:F124)</f>
        <v>2379855.85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ht="84" customHeight="1" hidden="1">
      <c r="A122" s="48" t="s">
        <v>194</v>
      </c>
      <c r="B122" s="72" t="s">
        <v>259</v>
      </c>
      <c r="C122" s="72" t="s">
        <v>229</v>
      </c>
      <c r="D122" s="77">
        <f>175583.9-175583.9</f>
        <v>0</v>
      </c>
      <c r="E122" s="77">
        <v>0</v>
      </c>
      <c r="F122" s="77">
        <v>0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ht="33.75">
      <c r="A123" s="48" t="s">
        <v>195</v>
      </c>
      <c r="B123" s="72" t="s">
        <v>259</v>
      </c>
      <c r="C123" s="72" t="s">
        <v>252</v>
      </c>
      <c r="D123" s="77">
        <f>1042500+175583.9-225600-318501.9</f>
        <v>673981.9999999999</v>
      </c>
      <c r="E123" s="77">
        <v>2331387.1</v>
      </c>
      <c r="F123" s="77">
        <v>2379855.85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</row>
    <row r="124" spans="1:6" ht="16.5">
      <c r="A124" s="48" t="s">
        <v>196</v>
      </c>
      <c r="B124" s="72">
        <v>1540000000</v>
      </c>
      <c r="C124" s="72" t="s">
        <v>257</v>
      </c>
      <c r="D124" s="77">
        <v>0</v>
      </c>
      <c r="E124" s="77">
        <v>240000</v>
      </c>
      <c r="F124" s="77"/>
    </row>
    <row r="125" spans="1:6" ht="33.75">
      <c r="A125" s="68" t="s">
        <v>260</v>
      </c>
      <c r="B125" s="69" t="s">
        <v>261</v>
      </c>
      <c r="C125" s="69"/>
      <c r="D125" s="61">
        <f>D126+D129</f>
        <v>60091445.559999995</v>
      </c>
      <c r="E125" s="61">
        <f>E126+E129</f>
        <v>66435155</v>
      </c>
      <c r="F125" s="61">
        <f>F126+F129</f>
        <v>66435155</v>
      </c>
    </row>
    <row r="126" spans="1:6" ht="16.5">
      <c r="A126" s="70" t="s">
        <v>262</v>
      </c>
      <c r="B126" s="71" t="s">
        <v>263</v>
      </c>
      <c r="C126" s="71"/>
      <c r="D126" s="64">
        <f>SUM(D127:D128)</f>
        <v>10018138.44</v>
      </c>
      <c r="E126" s="64">
        <f>SUM(E127:E128)</f>
        <v>9735155</v>
      </c>
      <c r="F126" s="64">
        <f>SUM(F127:F128)</f>
        <v>9735155</v>
      </c>
    </row>
    <row r="127" spans="1:6" ht="33.75">
      <c r="A127" s="48" t="s">
        <v>195</v>
      </c>
      <c r="B127" s="72" t="s">
        <v>263</v>
      </c>
      <c r="C127" s="72" t="s">
        <v>252</v>
      </c>
      <c r="D127" s="60">
        <f>11277200-2149061.56+890000-19333.34-3780666.66</f>
        <v>6218138.4399999995</v>
      </c>
      <c r="E127" s="60">
        <v>9735155</v>
      </c>
      <c r="F127" s="60">
        <v>9735155</v>
      </c>
    </row>
    <row r="128" spans="1:6" ht="33.75">
      <c r="A128" s="48" t="s">
        <v>220</v>
      </c>
      <c r="B128" s="72" t="s">
        <v>263</v>
      </c>
      <c r="C128" s="72" t="s">
        <v>266</v>
      </c>
      <c r="D128" s="60">
        <f>19333.34+3780666.66</f>
        <v>3800000</v>
      </c>
      <c r="E128" s="60">
        <v>0</v>
      </c>
      <c r="F128" s="60">
        <v>0</v>
      </c>
    </row>
    <row r="129" spans="1:256" s="39" customFormat="1" ht="39" customHeight="1">
      <c r="A129" s="70" t="s">
        <v>264</v>
      </c>
      <c r="B129" s="71" t="s">
        <v>265</v>
      </c>
      <c r="C129" s="71"/>
      <c r="D129" s="64">
        <f>D130+D131</f>
        <v>50073307.12</v>
      </c>
      <c r="E129" s="64">
        <f>E130+E131</f>
        <v>56700000</v>
      </c>
      <c r="F129" s="64">
        <f>F130+F131</f>
        <v>56700000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6" ht="16.5">
      <c r="A130" s="48" t="s">
        <v>196</v>
      </c>
      <c r="B130" s="72" t="s">
        <v>265</v>
      </c>
      <c r="C130" s="72" t="s">
        <v>257</v>
      </c>
      <c r="D130" s="77">
        <f>39400000-5423887.84+396190.28+301004.68</f>
        <v>34673307.12</v>
      </c>
      <c r="E130" s="77">
        <v>41100000</v>
      </c>
      <c r="F130" s="77">
        <v>41100000</v>
      </c>
    </row>
    <row r="131" spans="1:6" ht="33.75">
      <c r="A131" s="48" t="s">
        <v>220</v>
      </c>
      <c r="B131" s="72" t="s">
        <v>265</v>
      </c>
      <c r="C131" s="72" t="s">
        <v>266</v>
      </c>
      <c r="D131" s="77">
        <f>15600000-200000</f>
        <v>15400000</v>
      </c>
      <c r="E131" s="77">
        <v>15600000</v>
      </c>
      <c r="F131" s="77">
        <v>15600000</v>
      </c>
    </row>
    <row r="132" spans="1:6" ht="33.75">
      <c r="A132" s="68" t="s">
        <v>267</v>
      </c>
      <c r="B132" s="69" t="s">
        <v>268</v>
      </c>
      <c r="C132" s="69"/>
      <c r="D132" s="61">
        <f>D133+D138+D142</f>
        <v>316684748.46000004</v>
      </c>
      <c r="E132" s="61">
        <f>E133+E138+E142</f>
        <v>49068592.46</v>
      </c>
      <c r="F132" s="61">
        <f>F133+F138+F142</f>
        <v>49068592.46</v>
      </c>
    </row>
    <row r="133" spans="1:6" ht="16.5">
      <c r="A133" s="70" t="s">
        <v>192</v>
      </c>
      <c r="B133" s="71" t="s">
        <v>269</v>
      </c>
      <c r="C133" s="71"/>
      <c r="D133" s="64">
        <f>SUM(D134:D137)</f>
        <v>33796188.23</v>
      </c>
      <c r="E133" s="64">
        <f>SUM(E134:E137)</f>
        <v>33419089.29</v>
      </c>
      <c r="F133" s="64">
        <f>SUM(F134:F137)</f>
        <v>33419089.29</v>
      </c>
    </row>
    <row r="134" spans="1:6" ht="79.5" customHeight="1">
      <c r="A134" s="48" t="s">
        <v>194</v>
      </c>
      <c r="B134" s="72" t="s">
        <v>269</v>
      </c>
      <c r="C134" s="72" t="s">
        <v>229</v>
      </c>
      <c r="D134" s="77">
        <f>34867585-4068076+1674765.79-23340.68-1200177.87-202100+257238.48</f>
        <v>31305894.72</v>
      </c>
      <c r="E134" s="333">
        <f>34867585-4068076</f>
        <v>30799509</v>
      </c>
      <c r="F134" s="333">
        <f>34867585-4068076</f>
        <v>30799509</v>
      </c>
    </row>
    <row r="135" spans="1:6" ht="33.75">
      <c r="A135" s="48" t="s">
        <v>195</v>
      </c>
      <c r="B135" s="72" t="s">
        <v>269</v>
      </c>
      <c r="C135" s="72" t="s">
        <v>252</v>
      </c>
      <c r="D135" s="77">
        <f>2499509.5-519090+279433.33+202100</f>
        <v>2461952.83</v>
      </c>
      <c r="E135" s="333">
        <v>2614580.29</v>
      </c>
      <c r="F135" s="333">
        <v>2614580.29</v>
      </c>
    </row>
    <row r="136" spans="1:6" ht="16.5">
      <c r="A136" s="48" t="s">
        <v>196</v>
      </c>
      <c r="B136" s="72" t="s">
        <v>269</v>
      </c>
      <c r="C136" s="72" t="s">
        <v>257</v>
      </c>
      <c r="D136" s="77">
        <f>23340.68</f>
        <v>23340.68</v>
      </c>
      <c r="E136" s="333">
        <v>0</v>
      </c>
      <c r="F136" s="333">
        <v>0</v>
      </c>
    </row>
    <row r="137" spans="1:6" ht="16.5">
      <c r="A137" s="48" t="s">
        <v>197</v>
      </c>
      <c r="B137" s="72" t="s">
        <v>269</v>
      </c>
      <c r="C137" s="72" t="s">
        <v>231</v>
      </c>
      <c r="D137" s="77">
        <v>5000</v>
      </c>
      <c r="E137" s="333">
        <v>5000</v>
      </c>
      <c r="F137" s="333">
        <v>5000</v>
      </c>
    </row>
    <row r="138" spans="1:6" ht="16.5">
      <c r="A138" s="65" t="s">
        <v>270</v>
      </c>
      <c r="B138" s="71" t="s">
        <v>271</v>
      </c>
      <c r="C138" s="71"/>
      <c r="D138" s="64">
        <f>SUM(D139:D141)</f>
        <v>273834621.23</v>
      </c>
      <c r="E138" s="64">
        <f>SUM(E139:E141)</f>
        <v>12005877.25</v>
      </c>
      <c r="F138" s="64">
        <f>SUM(F139:F141)</f>
        <v>12005877.25</v>
      </c>
    </row>
    <row r="139" spans="1:6" ht="33.75">
      <c r="A139" s="48" t="s">
        <v>195</v>
      </c>
      <c r="B139" s="72" t="s">
        <v>271</v>
      </c>
      <c r="C139" s="72" t="s">
        <v>252</v>
      </c>
      <c r="D139" s="77">
        <f>15658234.3+475647.59+1137067.2-3050171.99+1574578.8-279433.33</f>
        <v>15515922.57</v>
      </c>
      <c r="E139" s="60">
        <v>11995877.25</v>
      </c>
      <c r="F139" s="60">
        <v>11995877.25</v>
      </c>
    </row>
    <row r="140" spans="1:6" ht="33.75">
      <c r="A140" s="48" t="s">
        <v>272</v>
      </c>
      <c r="B140" s="72" t="s">
        <v>271</v>
      </c>
      <c r="C140" s="72" t="s">
        <v>266</v>
      </c>
      <c r="D140" s="77">
        <f>218357573.58+127902277.06+4561714.79+2500000-60000000+2839134.82-30105767.39-13072917.63-5098035.97+439719.4+5985000</f>
        <v>254308698.66000003</v>
      </c>
      <c r="E140" s="334">
        <v>0</v>
      </c>
      <c r="F140" s="334">
        <v>0</v>
      </c>
    </row>
    <row r="141" spans="1:6" ht="16.5">
      <c r="A141" s="48" t="s">
        <v>197</v>
      </c>
      <c r="B141" s="72" t="s">
        <v>271</v>
      </c>
      <c r="C141" s="72" t="s">
        <v>231</v>
      </c>
      <c r="D141" s="77">
        <f>10000+4000000+5985000-5985000</f>
        <v>4010000</v>
      </c>
      <c r="E141" s="333">
        <v>10000</v>
      </c>
      <c r="F141" s="333">
        <v>10000</v>
      </c>
    </row>
    <row r="142" spans="1:6" ht="36" customHeight="1">
      <c r="A142" s="70" t="s">
        <v>273</v>
      </c>
      <c r="B142" s="71" t="s">
        <v>274</v>
      </c>
      <c r="C142" s="71"/>
      <c r="D142" s="64">
        <f>D143+D144+D145</f>
        <v>9053939</v>
      </c>
      <c r="E142" s="64">
        <f>E143+E144+E145</f>
        <v>3643625.92</v>
      </c>
      <c r="F142" s="64">
        <f>F143+F144+F145</f>
        <v>3643625.92</v>
      </c>
    </row>
    <row r="143" spans="1:6" ht="33.75">
      <c r="A143" s="48" t="s">
        <v>195</v>
      </c>
      <c r="B143" s="72" t="s">
        <v>274</v>
      </c>
      <c r="C143" s="72" t="s">
        <v>252</v>
      </c>
      <c r="D143" s="77">
        <f>3447139+4998000+608800</f>
        <v>9053939</v>
      </c>
      <c r="E143" s="333">
        <v>3643625.92</v>
      </c>
      <c r="F143" s="333">
        <v>3643625.92</v>
      </c>
    </row>
    <row r="144" spans="1:6" ht="33.75" hidden="1">
      <c r="A144" s="48" t="s">
        <v>272</v>
      </c>
      <c r="B144" s="72" t="s">
        <v>274</v>
      </c>
      <c r="C144" s="72" t="s">
        <v>266</v>
      </c>
      <c r="D144" s="77">
        <f>5985000-5985000</f>
        <v>0</v>
      </c>
      <c r="E144" s="77">
        <v>0</v>
      </c>
      <c r="F144" s="77">
        <v>0</v>
      </c>
    </row>
    <row r="145" spans="1:6" ht="16.5" hidden="1">
      <c r="A145" s="48" t="s">
        <v>197</v>
      </c>
      <c r="B145" s="72" t="s">
        <v>274</v>
      </c>
      <c r="C145" s="72" t="s">
        <v>231</v>
      </c>
      <c r="D145" s="77"/>
      <c r="E145" s="77"/>
      <c r="F145" s="77"/>
    </row>
    <row r="146" spans="1:6" ht="16.5">
      <c r="A146" s="68" t="s">
        <v>275</v>
      </c>
      <c r="B146" s="69" t="s">
        <v>276</v>
      </c>
      <c r="C146" s="69"/>
      <c r="D146" s="61">
        <f>D147+D152+D155</f>
        <v>140662408.3</v>
      </c>
      <c r="E146" s="61">
        <f>E147+E152+E155</f>
        <v>138072363.33999997</v>
      </c>
      <c r="F146" s="61">
        <f>F147+F152+F155</f>
        <v>139031568.62</v>
      </c>
    </row>
    <row r="147" spans="1:256" s="75" customFormat="1" ht="16.5">
      <c r="A147" s="70" t="s">
        <v>192</v>
      </c>
      <c r="B147" s="71" t="s">
        <v>277</v>
      </c>
      <c r="C147" s="71"/>
      <c r="D147" s="64">
        <f>SUBTOTAL(9,D148:D151)</f>
        <v>125074381.2</v>
      </c>
      <c r="E147" s="64">
        <f>SUBTOTAL(9,E148:E151)</f>
        <v>122072363.33999999</v>
      </c>
      <c r="F147" s="64">
        <f>SUBTOTAL(9,F148:F151)</f>
        <v>123031568.61999999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</row>
    <row r="148" spans="1:256" s="75" customFormat="1" ht="78.75" customHeight="1">
      <c r="A148" s="48" t="s">
        <v>194</v>
      </c>
      <c r="B148" s="72" t="s">
        <v>277</v>
      </c>
      <c r="C148" s="72" t="s">
        <v>229</v>
      </c>
      <c r="D148" s="77">
        <f>93985125.77+2185911.76+45379+1387500+51127+677239-379047.89</f>
        <v>97953234.64</v>
      </c>
      <c r="E148" s="77">
        <v>93985125.77</v>
      </c>
      <c r="F148" s="77">
        <v>93985125.77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75" customFormat="1" ht="36.75" customHeight="1">
      <c r="A149" s="48" t="s">
        <v>195</v>
      </c>
      <c r="B149" s="72" t="s">
        <v>277</v>
      </c>
      <c r="C149" s="72" t="s">
        <v>252</v>
      </c>
      <c r="D149" s="77">
        <f>24367352.68-306425+3879869.56-1387500-2528127.79</f>
        <v>24025169.45</v>
      </c>
      <c r="E149" s="77">
        <v>24990260.46</v>
      </c>
      <c r="F149" s="77">
        <v>25949465.74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75" customFormat="1" ht="36.75" customHeight="1" hidden="1">
      <c r="A150" s="48" t="s">
        <v>196</v>
      </c>
      <c r="B150" s="72" t="s">
        <v>277</v>
      </c>
      <c r="C150" s="72" t="s">
        <v>257</v>
      </c>
      <c r="D150" s="77"/>
      <c r="E150" s="77"/>
      <c r="F150" s="7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76" customFormat="1" ht="16.5">
      <c r="A151" s="48" t="s">
        <v>197</v>
      </c>
      <c r="B151" s="72" t="s">
        <v>277</v>
      </c>
      <c r="C151" s="72" t="s">
        <v>231</v>
      </c>
      <c r="D151" s="77">
        <f>3096977.11-1000</f>
        <v>3095977.11</v>
      </c>
      <c r="E151" s="77">
        <v>3096977.11</v>
      </c>
      <c r="F151" s="77">
        <v>3096977.11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75" customFormat="1" ht="16.5">
      <c r="A152" s="70" t="s">
        <v>278</v>
      </c>
      <c r="B152" s="71" t="s">
        <v>279</v>
      </c>
      <c r="C152" s="71"/>
      <c r="D152" s="64">
        <f>D154+D153</f>
        <v>8584924.23</v>
      </c>
      <c r="E152" s="64">
        <f>E154+E153</f>
        <v>8000000</v>
      </c>
      <c r="F152" s="64">
        <f>F154+F153</f>
        <v>8000000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</row>
    <row r="153" spans="1:256" s="75" customFormat="1" ht="61.5" customHeight="1">
      <c r="A153" s="48" t="s">
        <v>194</v>
      </c>
      <c r="B153" s="72" t="s">
        <v>279</v>
      </c>
      <c r="C153" s="72" t="s">
        <v>229</v>
      </c>
      <c r="D153" s="77">
        <f>2120000-1200000-205820-206654.97</f>
        <v>507525.03</v>
      </c>
      <c r="E153" s="77">
        <v>2120000</v>
      </c>
      <c r="F153" s="77">
        <v>2120000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  <c r="IV153" s="37"/>
    </row>
    <row r="154" spans="1:256" s="76" customFormat="1" ht="33.75" customHeight="1">
      <c r="A154" s="48" t="s">
        <v>195</v>
      </c>
      <c r="B154" s="72" t="s">
        <v>279</v>
      </c>
      <c r="C154" s="72" t="s">
        <v>252</v>
      </c>
      <c r="D154" s="77">
        <f>5880000+1700000+497399.2</f>
        <v>8077399.2</v>
      </c>
      <c r="E154" s="77">
        <v>5880000</v>
      </c>
      <c r="F154" s="77">
        <v>5880000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6" ht="16.5">
      <c r="A155" s="70" t="s">
        <v>280</v>
      </c>
      <c r="B155" s="71" t="s">
        <v>281</v>
      </c>
      <c r="C155" s="71"/>
      <c r="D155" s="64">
        <f>D157+D156</f>
        <v>7003102.87</v>
      </c>
      <c r="E155" s="64">
        <f>E157+E156</f>
        <v>8000000</v>
      </c>
      <c r="F155" s="64">
        <f>F157+F156</f>
        <v>8000000</v>
      </c>
    </row>
    <row r="156" spans="1:6" ht="78" customHeight="1">
      <c r="A156" s="48" t="s">
        <v>194</v>
      </c>
      <c r="B156" s="78" t="s">
        <v>281</v>
      </c>
      <c r="C156" s="72" t="s">
        <v>229</v>
      </c>
      <c r="D156" s="77">
        <f>2240000-1300000-206152.9-290744.23</f>
        <v>443102.87</v>
      </c>
      <c r="E156" s="77">
        <v>2240000</v>
      </c>
      <c r="F156" s="77">
        <v>2240000</v>
      </c>
    </row>
    <row r="157" spans="1:6" ht="30.75" customHeight="1">
      <c r="A157" s="48" t="s">
        <v>195</v>
      </c>
      <c r="B157" s="72" t="s">
        <v>281</v>
      </c>
      <c r="C157" s="72" t="s">
        <v>252</v>
      </c>
      <c r="D157" s="77">
        <f>5760000+800000</f>
        <v>6560000</v>
      </c>
      <c r="E157" s="77">
        <v>5760000</v>
      </c>
      <c r="F157" s="77">
        <v>5760000</v>
      </c>
    </row>
    <row r="158" spans="1:6" ht="16.5">
      <c r="A158" s="68" t="s">
        <v>282</v>
      </c>
      <c r="B158" s="69" t="s">
        <v>283</v>
      </c>
      <c r="C158" s="69"/>
      <c r="D158" s="61">
        <f>D159</f>
        <v>2995900</v>
      </c>
      <c r="E158" s="61">
        <f>E159</f>
        <v>2995900</v>
      </c>
      <c r="F158" s="61">
        <f>F159</f>
        <v>2995900</v>
      </c>
    </row>
    <row r="159" spans="1:256" s="75" customFormat="1" ht="33.75">
      <c r="A159" s="79" t="s">
        <v>284</v>
      </c>
      <c r="B159" s="71" t="s">
        <v>285</v>
      </c>
      <c r="C159" s="71"/>
      <c r="D159" s="64">
        <f>D160+D161+D162</f>
        <v>2995900</v>
      </c>
      <c r="E159" s="64">
        <f>E160+E161+E162</f>
        <v>2995900</v>
      </c>
      <c r="F159" s="64">
        <f>F160+F161+F162</f>
        <v>2995900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</row>
    <row r="160" spans="1:256" s="76" customFormat="1" ht="83.25" customHeight="1">
      <c r="A160" s="48" t="s">
        <v>194</v>
      </c>
      <c r="B160" s="71" t="s">
        <v>285</v>
      </c>
      <c r="C160" s="72" t="s">
        <v>229</v>
      </c>
      <c r="D160" s="77">
        <f>127200+145380</f>
        <v>272580</v>
      </c>
      <c r="E160" s="77">
        <v>127200</v>
      </c>
      <c r="F160" s="77">
        <v>127200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6" ht="33.75">
      <c r="A161" s="48" t="s">
        <v>195</v>
      </c>
      <c r="B161" s="71" t="s">
        <v>285</v>
      </c>
      <c r="C161" s="72" t="s">
        <v>252</v>
      </c>
      <c r="D161" s="77">
        <f>1004200+265398.02</f>
        <v>1269598.02</v>
      </c>
      <c r="E161" s="77">
        <v>1004200</v>
      </c>
      <c r="F161" s="77">
        <v>1004200</v>
      </c>
    </row>
    <row r="162" spans="1:6" ht="16.5">
      <c r="A162" s="48" t="s">
        <v>196</v>
      </c>
      <c r="B162" s="71" t="s">
        <v>285</v>
      </c>
      <c r="C162" s="72" t="s">
        <v>257</v>
      </c>
      <c r="D162" s="77">
        <f>1864500-145380-265398.02</f>
        <v>1453721.98</v>
      </c>
      <c r="E162" s="77">
        <v>1864500</v>
      </c>
      <c r="F162" s="77">
        <v>1864500</v>
      </c>
    </row>
    <row r="163" spans="1:256" s="39" customFormat="1" ht="33.75">
      <c r="A163" s="40" t="s">
        <v>286</v>
      </c>
      <c r="B163" s="80">
        <v>3200000000</v>
      </c>
      <c r="C163" s="81"/>
      <c r="D163" s="61">
        <f>D164</f>
        <v>6010228.930000001</v>
      </c>
      <c r="E163" s="61">
        <f>E164</f>
        <v>6000000</v>
      </c>
      <c r="F163" s="61">
        <f>F164</f>
        <v>6000000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  <c r="IV163" s="37"/>
    </row>
    <row r="164" spans="1:256" s="39" customFormat="1" ht="16.5">
      <c r="A164" s="66" t="s">
        <v>287</v>
      </c>
      <c r="B164" s="74">
        <v>3210000000</v>
      </c>
      <c r="C164" s="82"/>
      <c r="D164" s="64">
        <f>D166+D167+D165</f>
        <v>6010228.930000001</v>
      </c>
      <c r="E164" s="64">
        <f>E166+E167+E165</f>
        <v>6000000</v>
      </c>
      <c r="F164" s="64">
        <f>F166+F167+F165</f>
        <v>6000000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</row>
    <row r="165" spans="1:256" s="362" customFormat="1" ht="67.5">
      <c r="A165" s="48" t="s">
        <v>194</v>
      </c>
      <c r="B165" s="73">
        <v>3210000000</v>
      </c>
      <c r="C165" s="73">
        <v>100</v>
      </c>
      <c r="D165" s="60">
        <v>36370</v>
      </c>
      <c r="E165" s="60">
        <v>0</v>
      </c>
      <c r="F165" s="60">
        <v>0</v>
      </c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  <c r="EK165" s="85"/>
      <c r="EL165" s="85"/>
      <c r="EM165" s="85"/>
      <c r="EN165" s="85"/>
      <c r="EO165" s="85"/>
      <c r="EP165" s="85"/>
      <c r="EQ165" s="85"/>
      <c r="ER165" s="85"/>
      <c r="ES165" s="85"/>
      <c r="ET165" s="85"/>
      <c r="EU165" s="85"/>
      <c r="EV165" s="85"/>
      <c r="EW165" s="85"/>
      <c r="EX165" s="85"/>
      <c r="EY165" s="85"/>
      <c r="EZ165" s="85"/>
      <c r="FA165" s="85"/>
      <c r="FB165" s="85"/>
      <c r="FC165" s="85"/>
      <c r="FD165" s="85"/>
      <c r="FE165" s="85"/>
      <c r="FF165" s="85"/>
      <c r="FG165" s="85"/>
      <c r="FH165" s="85"/>
      <c r="FI165" s="85"/>
      <c r="FJ165" s="85"/>
      <c r="FK165" s="85"/>
      <c r="FL165" s="85"/>
      <c r="FM165" s="85"/>
      <c r="FN165" s="85"/>
      <c r="FO165" s="85"/>
      <c r="FP165" s="85"/>
      <c r="FQ165" s="85"/>
      <c r="FR165" s="85"/>
      <c r="FS165" s="85"/>
      <c r="FT165" s="85"/>
      <c r="FU165" s="85"/>
      <c r="FV165" s="85"/>
      <c r="FW165" s="85"/>
      <c r="FX165" s="85"/>
      <c r="FY165" s="85"/>
      <c r="FZ165" s="85"/>
      <c r="GA165" s="85"/>
      <c r="GB165" s="85"/>
      <c r="GC165" s="85"/>
      <c r="GD165" s="85"/>
      <c r="GE165" s="85"/>
      <c r="GF165" s="85"/>
      <c r="GM165" s="85"/>
      <c r="GN165" s="85"/>
      <c r="GO165" s="85"/>
      <c r="GP165" s="85"/>
      <c r="GQ165" s="85"/>
      <c r="GR165" s="85"/>
      <c r="GS165" s="85"/>
      <c r="GT165" s="85"/>
      <c r="GU165" s="85"/>
      <c r="GV165" s="85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85"/>
      <c r="IH165" s="85"/>
      <c r="II165" s="85"/>
      <c r="IJ165" s="85"/>
      <c r="IK165" s="85"/>
      <c r="IL165" s="85"/>
      <c r="IM165" s="85"/>
      <c r="IN165" s="85"/>
      <c r="IO165" s="85"/>
      <c r="IP165" s="85"/>
      <c r="IQ165" s="85"/>
      <c r="IR165" s="85"/>
      <c r="IS165" s="85"/>
      <c r="IT165" s="85"/>
      <c r="IU165" s="85"/>
      <c r="IV165" s="85"/>
    </row>
    <row r="166" spans="1:256" s="39" customFormat="1" ht="33.75">
      <c r="A166" s="46" t="s">
        <v>195</v>
      </c>
      <c r="B166" s="73">
        <v>3210000000</v>
      </c>
      <c r="C166" s="73">
        <v>200</v>
      </c>
      <c r="D166" s="77">
        <f>300000-26140.6</f>
        <v>273859.4</v>
      </c>
      <c r="E166" s="77">
        <v>300000</v>
      </c>
      <c r="F166" s="77">
        <v>300000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  <c r="IV166" s="37"/>
    </row>
    <row r="167" spans="1:6" ht="33.75">
      <c r="A167" s="48" t="s">
        <v>204</v>
      </c>
      <c r="B167" s="73">
        <v>3210000000</v>
      </c>
      <c r="C167" s="73">
        <v>600</v>
      </c>
      <c r="D167" s="77">
        <f>5700000-0.47</f>
        <v>5699999.53</v>
      </c>
      <c r="E167" s="77">
        <v>5700000</v>
      </c>
      <c r="F167" s="77">
        <v>5700000</v>
      </c>
    </row>
    <row r="168" spans="1:256" ht="33.75">
      <c r="A168" s="40" t="s">
        <v>288</v>
      </c>
      <c r="B168" s="80">
        <v>2900000000</v>
      </c>
      <c r="C168" s="80"/>
      <c r="D168" s="61">
        <f>D169+D171</f>
        <v>2089351.33</v>
      </c>
      <c r="E168" s="61">
        <f>E169+E171</f>
        <v>1440423.53</v>
      </c>
      <c r="F168" s="61">
        <f>F169+F171</f>
        <v>1440423.53</v>
      </c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83"/>
      <c r="GD168" s="83"/>
      <c r="GE168" s="83"/>
      <c r="GF168" s="83"/>
      <c r="GM168" s="83"/>
      <c r="GN168" s="83"/>
      <c r="GO168" s="83"/>
      <c r="GP168" s="83"/>
      <c r="GQ168" s="83"/>
      <c r="GR168" s="83"/>
      <c r="GS168" s="83"/>
      <c r="GT168" s="83"/>
      <c r="GU168" s="83"/>
      <c r="GV168" s="83"/>
      <c r="GW168" s="83"/>
      <c r="GX168" s="83"/>
      <c r="GY168" s="83"/>
      <c r="GZ168" s="83"/>
      <c r="HA168" s="83"/>
      <c r="HB168" s="83"/>
      <c r="HC168" s="83"/>
      <c r="HD168" s="83"/>
      <c r="HE168" s="83"/>
      <c r="HF168" s="83"/>
      <c r="HG168" s="83"/>
      <c r="HH168" s="83"/>
      <c r="HI168" s="83"/>
      <c r="HJ168" s="83"/>
      <c r="HK168" s="83"/>
      <c r="HL168" s="83"/>
      <c r="HM168" s="83"/>
      <c r="HN168" s="83"/>
      <c r="HO168" s="83"/>
      <c r="HP168" s="83"/>
      <c r="HQ168" s="83"/>
      <c r="HR168" s="83"/>
      <c r="HS168" s="83"/>
      <c r="HT168" s="83"/>
      <c r="HU168" s="83"/>
      <c r="HV168" s="83"/>
      <c r="HW168" s="83"/>
      <c r="HX168" s="83"/>
      <c r="HY168" s="83"/>
      <c r="HZ168" s="83"/>
      <c r="IA168" s="83"/>
      <c r="IB168" s="83"/>
      <c r="IC168" s="83"/>
      <c r="ID168" s="83"/>
      <c r="IE168" s="83"/>
      <c r="IF168" s="83"/>
      <c r="IG168" s="83"/>
      <c r="IH168" s="83"/>
      <c r="II168" s="83"/>
      <c r="IJ168" s="83"/>
      <c r="IK168" s="83"/>
      <c r="IL168" s="83"/>
      <c r="IM168" s="83"/>
      <c r="IN168" s="83"/>
      <c r="IO168" s="83"/>
      <c r="IP168" s="83"/>
      <c r="IQ168" s="83"/>
      <c r="IR168" s="83"/>
      <c r="IS168" s="83"/>
      <c r="IT168" s="83"/>
      <c r="IU168" s="83"/>
      <c r="IV168" s="83"/>
    </row>
    <row r="169" spans="1:256" ht="33.75">
      <c r="A169" s="66" t="s">
        <v>289</v>
      </c>
      <c r="B169" s="74">
        <v>2930000000</v>
      </c>
      <c r="C169" s="74"/>
      <c r="D169" s="64">
        <f>D170</f>
        <v>1820351.33</v>
      </c>
      <c r="E169" s="64">
        <f>E170</f>
        <v>1162190.53</v>
      </c>
      <c r="F169" s="64">
        <f>F170</f>
        <v>1162190.53</v>
      </c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83"/>
      <c r="GD169" s="83"/>
      <c r="GE169" s="83"/>
      <c r="GF169" s="83"/>
      <c r="GM169" s="83"/>
      <c r="GN169" s="83"/>
      <c r="GO169" s="83"/>
      <c r="GP169" s="83"/>
      <c r="GQ169" s="83"/>
      <c r="GR169" s="83"/>
      <c r="GS169" s="83"/>
      <c r="GT169" s="83"/>
      <c r="GU169" s="83"/>
      <c r="GV169" s="83"/>
      <c r="GW169" s="83"/>
      <c r="GX169" s="83"/>
      <c r="GY169" s="83"/>
      <c r="GZ169" s="83"/>
      <c r="HA169" s="83"/>
      <c r="HB169" s="83"/>
      <c r="HC169" s="83"/>
      <c r="HD169" s="83"/>
      <c r="HE169" s="83"/>
      <c r="HF169" s="83"/>
      <c r="HG169" s="83"/>
      <c r="HH169" s="83"/>
      <c r="HI169" s="83"/>
      <c r="HJ169" s="83"/>
      <c r="HK169" s="83"/>
      <c r="HL169" s="83"/>
      <c r="HM169" s="83"/>
      <c r="HN169" s="83"/>
      <c r="HO169" s="83"/>
      <c r="HP169" s="83"/>
      <c r="HQ169" s="83"/>
      <c r="HR169" s="83"/>
      <c r="HS169" s="83"/>
      <c r="HT169" s="83"/>
      <c r="HU169" s="83"/>
      <c r="HV169" s="83"/>
      <c r="HW169" s="83"/>
      <c r="HX169" s="83"/>
      <c r="HY169" s="83"/>
      <c r="HZ169" s="83"/>
      <c r="IA169" s="83"/>
      <c r="IB169" s="83"/>
      <c r="IC169" s="83"/>
      <c r="ID169" s="83"/>
      <c r="IE169" s="83"/>
      <c r="IF169" s="83"/>
      <c r="IG169" s="83"/>
      <c r="IH169" s="83"/>
      <c r="II169" s="83"/>
      <c r="IJ169" s="83"/>
      <c r="IK169" s="83"/>
      <c r="IL169" s="83"/>
      <c r="IM169" s="83"/>
      <c r="IN169" s="83"/>
      <c r="IO169" s="83"/>
      <c r="IP169" s="83"/>
      <c r="IQ169" s="83"/>
      <c r="IR169" s="83"/>
      <c r="IS169" s="83"/>
      <c r="IT169" s="83"/>
      <c r="IU169" s="83"/>
      <c r="IV169" s="83"/>
    </row>
    <row r="170" spans="1:256" ht="33.75">
      <c r="A170" s="46" t="s">
        <v>195</v>
      </c>
      <c r="B170" s="73">
        <v>2930000000</v>
      </c>
      <c r="C170" s="73">
        <v>200</v>
      </c>
      <c r="D170" s="77">
        <v>1820351.33</v>
      </c>
      <c r="E170" s="77">
        <v>1162190.53</v>
      </c>
      <c r="F170" s="77">
        <v>1162190.53</v>
      </c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83"/>
      <c r="GD170" s="83"/>
      <c r="GE170" s="83"/>
      <c r="GF170" s="83"/>
      <c r="GM170" s="83"/>
      <c r="GN170" s="83"/>
      <c r="GO170" s="83"/>
      <c r="GP170" s="83"/>
      <c r="GQ170" s="83"/>
      <c r="GR170" s="83"/>
      <c r="GS170" s="83"/>
      <c r="GT170" s="83"/>
      <c r="GU170" s="83"/>
      <c r="GV170" s="83"/>
      <c r="GW170" s="83"/>
      <c r="GX170" s="83"/>
      <c r="GY170" s="83"/>
      <c r="GZ170" s="83"/>
      <c r="HA170" s="83"/>
      <c r="HB170" s="83"/>
      <c r="HC170" s="83"/>
      <c r="HD170" s="83"/>
      <c r="HE170" s="83"/>
      <c r="HF170" s="83"/>
      <c r="HG170" s="83"/>
      <c r="HH170" s="83"/>
      <c r="HI170" s="83"/>
      <c r="HJ170" s="83"/>
      <c r="HK170" s="83"/>
      <c r="HL170" s="83"/>
      <c r="HM170" s="83"/>
      <c r="HN170" s="83"/>
      <c r="HO170" s="83"/>
      <c r="HP170" s="83"/>
      <c r="HQ170" s="83"/>
      <c r="HR170" s="83"/>
      <c r="HS170" s="83"/>
      <c r="HT170" s="83"/>
      <c r="HU170" s="83"/>
      <c r="HV170" s="83"/>
      <c r="HW170" s="83"/>
      <c r="HX170" s="83"/>
      <c r="HY170" s="83"/>
      <c r="HZ170" s="83"/>
      <c r="IA170" s="83"/>
      <c r="IB170" s="83"/>
      <c r="IC170" s="83"/>
      <c r="ID170" s="83"/>
      <c r="IE170" s="83"/>
      <c r="IF170" s="83"/>
      <c r="IG170" s="83"/>
      <c r="IH170" s="83"/>
      <c r="II170" s="83"/>
      <c r="IJ170" s="83"/>
      <c r="IK170" s="83"/>
      <c r="IL170" s="83"/>
      <c r="IM170" s="83"/>
      <c r="IN170" s="83"/>
      <c r="IO170" s="83"/>
      <c r="IP170" s="83"/>
      <c r="IQ170" s="83"/>
      <c r="IR170" s="83"/>
      <c r="IS170" s="83"/>
      <c r="IT170" s="83"/>
      <c r="IU170" s="83"/>
      <c r="IV170" s="83"/>
    </row>
    <row r="171" spans="1:256" ht="49.5" customHeight="1">
      <c r="A171" s="66" t="s">
        <v>290</v>
      </c>
      <c r="B171" s="74">
        <v>2970000000</v>
      </c>
      <c r="C171" s="74"/>
      <c r="D171" s="64">
        <f>D172</f>
        <v>269000</v>
      </c>
      <c r="E171" s="64">
        <f>E172</f>
        <v>278233</v>
      </c>
      <c r="F171" s="64">
        <f>F172</f>
        <v>278233</v>
      </c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83"/>
      <c r="GD171" s="83"/>
      <c r="GE171" s="83"/>
      <c r="GF171" s="83"/>
      <c r="GM171" s="83"/>
      <c r="GN171" s="83"/>
      <c r="GO171" s="83"/>
      <c r="GP171" s="83"/>
      <c r="GQ171" s="83"/>
      <c r="GR171" s="83"/>
      <c r="GS171" s="83"/>
      <c r="GT171" s="83"/>
      <c r="GU171" s="83"/>
      <c r="GV171" s="83"/>
      <c r="GW171" s="83"/>
      <c r="GX171" s="83"/>
      <c r="GY171" s="83"/>
      <c r="GZ171" s="83"/>
      <c r="HA171" s="83"/>
      <c r="HB171" s="83"/>
      <c r="HC171" s="83"/>
      <c r="HD171" s="83"/>
      <c r="HE171" s="83"/>
      <c r="HF171" s="83"/>
      <c r="HG171" s="83"/>
      <c r="HH171" s="83"/>
      <c r="HI171" s="83"/>
      <c r="HJ171" s="83"/>
      <c r="HK171" s="83"/>
      <c r="HL171" s="83"/>
      <c r="HM171" s="83"/>
      <c r="HN171" s="83"/>
      <c r="HO171" s="83"/>
      <c r="HP171" s="83"/>
      <c r="HQ171" s="83"/>
      <c r="HR171" s="83"/>
      <c r="HS171" s="83"/>
      <c r="HT171" s="83"/>
      <c r="HU171" s="83"/>
      <c r="HV171" s="83"/>
      <c r="HW171" s="83"/>
      <c r="HX171" s="83"/>
      <c r="HY171" s="83"/>
      <c r="HZ171" s="83"/>
      <c r="IA171" s="83"/>
      <c r="IB171" s="83"/>
      <c r="IC171" s="83"/>
      <c r="ID171" s="83"/>
      <c r="IE171" s="83"/>
      <c r="IF171" s="83"/>
      <c r="IG171" s="83"/>
      <c r="IH171" s="83"/>
      <c r="II171" s="83"/>
      <c r="IJ171" s="83"/>
      <c r="IK171" s="83"/>
      <c r="IL171" s="83"/>
      <c r="IM171" s="83"/>
      <c r="IN171" s="83"/>
      <c r="IO171" s="83"/>
      <c r="IP171" s="83"/>
      <c r="IQ171" s="83"/>
      <c r="IR171" s="83"/>
      <c r="IS171" s="83"/>
      <c r="IT171" s="83"/>
      <c r="IU171" s="83"/>
      <c r="IV171" s="83"/>
    </row>
    <row r="172" spans="1:256" ht="33.75">
      <c r="A172" s="48" t="s">
        <v>195</v>
      </c>
      <c r="B172" s="73">
        <v>2970000000</v>
      </c>
      <c r="C172" s="73">
        <v>200</v>
      </c>
      <c r="D172" s="77">
        <v>269000</v>
      </c>
      <c r="E172" s="77">
        <v>278233</v>
      </c>
      <c r="F172" s="77">
        <v>278233</v>
      </c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  <c r="GC172" s="85"/>
      <c r="GD172" s="85"/>
      <c r="GE172" s="85"/>
      <c r="GF172" s="85"/>
      <c r="GM172" s="85"/>
      <c r="GN172" s="85"/>
      <c r="GO172" s="85"/>
      <c r="GP172" s="85"/>
      <c r="GQ172" s="85"/>
      <c r="GR172" s="85"/>
      <c r="GS172" s="85"/>
      <c r="GT172" s="85"/>
      <c r="GU172" s="85"/>
      <c r="GV172" s="85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85"/>
      <c r="IH172" s="85"/>
      <c r="II172" s="85"/>
      <c r="IJ172" s="85"/>
      <c r="IK172" s="85"/>
      <c r="IL172" s="85"/>
      <c r="IM172" s="85"/>
      <c r="IN172" s="85"/>
      <c r="IO172" s="85"/>
      <c r="IP172" s="85"/>
      <c r="IQ172" s="85"/>
      <c r="IR172" s="85"/>
      <c r="IS172" s="85"/>
      <c r="IT172" s="85"/>
      <c r="IU172" s="85"/>
      <c r="IV172" s="85"/>
    </row>
    <row r="173" spans="1:256" ht="16.5">
      <c r="A173" s="68" t="s">
        <v>291</v>
      </c>
      <c r="B173" s="80">
        <v>1300000000</v>
      </c>
      <c r="C173" s="80"/>
      <c r="D173" s="61">
        <f aca="true" t="shared" si="0" ref="D173:F174">D174</f>
        <v>35987448.38</v>
      </c>
      <c r="E173" s="61">
        <f t="shared" si="0"/>
        <v>0</v>
      </c>
      <c r="F173" s="61">
        <f t="shared" si="0"/>
        <v>0</v>
      </c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83"/>
      <c r="GD173" s="83"/>
      <c r="GE173" s="83"/>
      <c r="GF173" s="83"/>
      <c r="GM173" s="83"/>
      <c r="GN173" s="83"/>
      <c r="GO173" s="83"/>
      <c r="GP173" s="83"/>
      <c r="GQ173" s="83"/>
      <c r="GR173" s="83"/>
      <c r="GS173" s="83"/>
      <c r="GT173" s="83"/>
      <c r="GU173" s="83"/>
      <c r="GV173" s="83"/>
      <c r="GW173" s="83"/>
      <c r="GX173" s="83"/>
      <c r="GY173" s="83"/>
      <c r="GZ173" s="83"/>
      <c r="HA173" s="83"/>
      <c r="HB173" s="83"/>
      <c r="HC173" s="83"/>
      <c r="HD173" s="83"/>
      <c r="HE173" s="83"/>
      <c r="HF173" s="83"/>
      <c r="HG173" s="83"/>
      <c r="HH173" s="83"/>
      <c r="HI173" s="83"/>
      <c r="HJ173" s="83"/>
      <c r="HK173" s="83"/>
      <c r="HL173" s="83"/>
      <c r="HM173" s="83"/>
      <c r="HN173" s="83"/>
      <c r="HO173" s="83"/>
      <c r="HP173" s="83"/>
      <c r="HQ173" s="83"/>
      <c r="HR173" s="83"/>
      <c r="HS173" s="83"/>
      <c r="HT173" s="83"/>
      <c r="HU173" s="83"/>
      <c r="HV173" s="83"/>
      <c r="HW173" s="83"/>
      <c r="HX173" s="83"/>
      <c r="HY173" s="83"/>
      <c r="HZ173" s="83"/>
      <c r="IA173" s="83"/>
      <c r="IB173" s="83"/>
      <c r="IC173" s="83"/>
      <c r="ID173" s="83"/>
      <c r="IE173" s="83"/>
      <c r="IF173" s="83"/>
      <c r="IG173" s="83"/>
      <c r="IH173" s="83"/>
      <c r="II173" s="83"/>
      <c r="IJ173" s="83"/>
      <c r="IK173" s="83"/>
      <c r="IL173" s="83"/>
      <c r="IM173" s="83"/>
      <c r="IN173" s="83"/>
      <c r="IO173" s="83"/>
      <c r="IP173" s="83"/>
      <c r="IQ173" s="83"/>
      <c r="IR173" s="83"/>
      <c r="IS173" s="83"/>
      <c r="IT173" s="83"/>
      <c r="IU173" s="83"/>
      <c r="IV173" s="83"/>
    </row>
    <row r="174" spans="1:256" ht="51">
      <c r="A174" s="87" t="s">
        <v>292</v>
      </c>
      <c r="B174" s="74">
        <v>1320000000</v>
      </c>
      <c r="C174" s="74"/>
      <c r="D174" s="64">
        <f>D175</f>
        <v>35987448.38</v>
      </c>
      <c r="E174" s="64">
        <f t="shared" si="0"/>
        <v>0</v>
      </c>
      <c r="F174" s="64">
        <f t="shared" si="0"/>
        <v>0</v>
      </c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83"/>
      <c r="GD174" s="83"/>
      <c r="GE174" s="83"/>
      <c r="GF174" s="83"/>
      <c r="GM174" s="83"/>
      <c r="GN174" s="83"/>
      <c r="GO174" s="83"/>
      <c r="GP174" s="83"/>
      <c r="GQ174" s="83"/>
      <c r="GR174" s="83"/>
      <c r="GS174" s="83"/>
      <c r="GT174" s="83"/>
      <c r="GU174" s="83"/>
      <c r="GV174" s="83"/>
      <c r="GW174" s="83"/>
      <c r="GX174" s="83"/>
      <c r="GY174" s="83"/>
      <c r="GZ174" s="83"/>
      <c r="HA174" s="83"/>
      <c r="HB174" s="83"/>
      <c r="HC174" s="83"/>
      <c r="HD174" s="83"/>
      <c r="HE174" s="83"/>
      <c r="HF174" s="83"/>
      <c r="HG174" s="83"/>
      <c r="HH174" s="83"/>
      <c r="HI174" s="83"/>
      <c r="HJ174" s="83"/>
      <c r="HK174" s="83"/>
      <c r="HL174" s="83"/>
      <c r="HM174" s="83"/>
      <c r="HN174" s="83"/>
      <c r="HO174" s="83"/>
      <c r="HP174" s="83"/>
      <c r="HQ174" s="83"/>
      <c r="HR174" s="83"/>
      <c r="HS174" s="83"/>
      <c r="HT174" s="83"/>
      <c r="HU174" s="83"/>
      <c r="HV174" s="83"/>
      <c r="HW174" s="83"/>
      <c r="HX174" s="83"/>
      <c r="HY174" s="83"/>
      <c r="HZ174" s="83"/>
      <c r="IA174" s="83"/>
      <c r="IB174" s="83"/>
      <c r="IC174" s="83"/>
      <c r="ID174" s="83"/>
      <c r="IE174" s="83"/>
      <c r="IF174" s="83"/>
      <c r="IG174" s="83"/>
      <c r="IH174" s="83"/>
      <c r="II174" s="83"/>
      <c r="IJ174" s="83"/>
      <c r="IK174" s="83"/>
      <c r="IL174" s="83"/>
      <c r="IM174" s="83"/>
      <c r="IN174" s="83"/>
      <c r="IO174" s="83"/>
      <c r="IP174" s="83"/>
      <c r="IQ174" s="83"/>
      <c r="IR174" s="83"/>
      <c r="IS174" s="83"/>
      <c r="IT174" s="83"/>
      <c r="IU174" s="83"/>
      <c r="IV174" s="83"/>
    </row>
    <row r="175" spans="1:256" ht="33.75">
      <c r="A175" s="48" t="s">
        <v>195</v>
      </c>
      <c r="B175" s="73">
        <v>1320000000</v>
      </c>
      <c r="C175" s="73">
        <v>200</v>
      </c>
      <c r="D175" s="77">
        <f>28400000+7587448.38</f>
        <v>35987448.38</v>
      </c>
      <c r="E175" s="77">
        <v>0</v>
      </c>
      <c r="F175" s="77">
        <v>0</v>
      </c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  <c r="IU175" s="85"/>
      <c r="IV175" s="85"/>
    </row>
    <row r="176" spans="1:6" ht="16.5">
      <c r="A176" s="88" t="s">
        <v>293</v>
      </c>
      <c r="B176" s="89">
        <v>3400000000</v>
      </c>
      <c r="C176" s="89"/>
      <c r="D176" s="335">
        <f aca="true" t="shared" si="1" ref="D176:F177">D177</f>
        <v>1189011.12</v>
      </c>
      <c r="E176" s="335">
        <f t="shared" si="1"/>
        <v>0</v>
      </c>
      <c r="F176" s="335">
        <f t="shared" si="1"/>
        <v>0</v>
      </c>
    </row>
    <row r="177" spans="1:6" ht="33.75">
      <c r="A177" s="90" t="s">
        <v>294</v>
      </c>
      <c r="B177" s="89">
        <v>3440000000</v>
      </c>
      <c r="C177" s="89"/>
      <c r="D177" s="335">
        <f t="shared" si="1"/>
        <v>1189011.12</v>
      </c>
      <c r="E177" s="335">
        <f t="shared" si="1"/>
        <v>0</v>
      </c>
      <c r="F177" s="335">
        <f t="shared" si="1"/>
        <v>0</v>
      </c>
    </row>
    <row r="178" spans="1:6" ht="33.75">
      <c r="A178" s="48" t="s">
        <v>272</v>
      </c>
      <c r="B178" s="32">
        <v>3440000000</v>
      </c>
      <c r="C178" s="32">
        <v>400</v>
      </c>
      <c r="D178" s="77">
        <f>1052482.6+164798.4-28269.88</f>
        <v>1189011.12</v>
      </c>
      <c r="E178" s="77">
        <v>0</v>
      </c>
      <c r="F178" s="77">
        <v>0</v>
      </c>
    </row>
    <row r="179" spans="1:3" ht="15.75">
      <c r="A179" s="91"/>
      <c r="B179" s="92"/>
      <c r="C179" s="92"/>
    </row>
    <row r="180" spans="1:3" ht="15.75">
      <c r="A180" s="91"/>
      <c r="B180" s="92"/>
      <c r="C180" s="92"/>
    </row>
    <row r="181" spans="1:3" ht="15.75">
      <c r="A181" s="91"/>
      <c r="B181" s="92"/>
      <c r="C181" s="92"/>
    </row>
    <row r="182" spans="1:3" ht="15.75">
      <c r="A182" s="91"/>
      <c r="B182" s="92"/>
      <c r="C182" s="92"/>
    </row>
    <row r="183" spans="1:3" ht="15.75">
      <c r="A183" s="91"/>
      <c r="B183" s="92"/>
      <c r="C183" s="92"/>
    </row>
    <row r="184" spans="1:3" ht="15.75">
      <c r="A184" s="91"/>
      <c r="B184" s="92"/>
      <c r="C184" s="92"/>
    </row>
  </sheetData>
  <sheetProtection/>
  <mergeCells count="1">
    <mergeCell ref="A11:F11"/>
  </mergeCells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portrait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6"/>
  <sheetViews>
    <sheetView zoomScalePageLayoutView="0" workbookViewId="0" topLeftCell="B1">
      <selection activeCell="G7" sqref="G7"/>
    </sheetView>
  </sheetViews>
  <sheetFormatPr defaultColWidth="8.8515625" defaultRowHeight="15"/>
  <cols>
    <col min="1" max="1" width="56.421875" style="93" customWidth="1"/>
    <col min="2" max="2" width="5.8515625" style="94" customWidth="1"/>
    <col min="3" max="3" width="5.140625" style="94" customWidth="1"/>
    <col min="4" max="4" width="15.8515625" style="94" customWidth="1"/>
    <col min="5" max="5" width="8.421875" style="94" customWidth="1"/>
    <col min="6" max="6" width="23.421875" style="95" customWidth="1"/>
    <col min="7" max="7" width="19.421875" style="95" customWidth="1"/>
    <col min="8" max="8" width="21.8515625" style="95" customWidth="1"/>
    <col min="9" max="9" width="17.28125" style="169" customWidth="1"/>
    <col min="10" max="10" width="13.421875" style="299" customWidth="1"/>
    <col min="11" max="11" width="14.28125" style="299" customWidth="1"/>
    <col min="12" max="12" width="12.7109375" style="299" customWidth="1"/>
    <col min="13" max="13" width="13.421875" style="299" customWidth="1"/>
    <col min="14" max="14" width="12.28125" style="299" customWidth="1"/>
    <col min="15" max="16" width="15.8515625" style="299" customWidth="1"/>
    <col min="17" max="17" width="12.140625" style="299" customWidth="1"/>
    <col min="18" max="19" width="12.8515625" style="299" customWidth="1"/>
    <col min="20" max="20" width="12.421875" style="299" customWidth="1"/>
    <col min="21" max="21" width="12.421875" style="127" customWidth="1"/>
    <col min="22" max="22" width="7.421875" style="127" customWidth="1"/>
    <col min="23" max="23" width="12.7109375" style="95" customWidth="1"/>
    <col min="24" max="24" width="16.7109375" style="95" customWidth="1"/>
    <col min="25" max="25" width="15.421875" style="95" customWidth="1"/>
    <col min="26" max="26" width="17.00390625" style="95" customWidth="1"/>
    <col min="27" max="27" width="12.421875" style="95" customWidth="1"/>
    <col min="28" max="28" width="13.8515625" style="95" customWidth="1"/>
    <col min="29" max="29" width="15.140625" style="95" customWidth="1"/>
    <col min="30" max="30" width="15.421875" style="95" bestFit="1" customWidth="1"/>
    <col min="31" max="31" width="16.7109375" style="95" bestFit="1" customWidth="1"/>
    <col min="32" max="32" width="15.421875" style="95" bestFit="1" customWidth="1"/>
    <col min="33" max="33" width="11.421875" style="93" customWidth="1"/>
    <col min="34" max="34" width="10.28125" style="93" bestFit="1" customWidth="1"/>
    <col min="35" max="35" width="22.421875" style="93" customWidth="1"/>
    <col min="36" max="36" width="12.28125" style="93" bestFit="1" customWidth="1"/>
    <col min="37" max="37" width="9.140625" style="93" customWidth="1"/>
    <col min="38" max="38" width="9.7109375" style="93" bestFit="1" customWidth="1"/>
    <col min="39" max="225" width="9.140625" style="93" customWidth="1"/>
    <col min="226" max="226" width="61.00390625" style="93" customWidth="1"/>
    <col min="227" max="227" width="9.140625" style="93" customWidth="1"/>
    <col min="228" max="228" width="5.8515625" style="93" customWidth="1"/>
    <col min="229" max="229" width="5.140625" style="93" customWidth="1"/>
    <col min="230" max="230" width="18.140625" style="93" customWidth="1"/>
    <col min="231" max="231" width="8.421875" style="93" customWidth="1"/>
    <col min="232" max="232" width="27.140625" style="93" customWidth="1"/>
    <col min="233" max="239" width="0" style="93" hidden="1" customWidth="1"/>
    <col min="240" max="240" width="12.421875" style="93" bestFit="1" customWidth="1"/>
    <col min="241" max="241" width="13.28125" style="93" bestFit="1" customWidth="1"/>
    <col min="242" max="242" width="46.7109375" style="93" bestFit="1" customWidth="1"/>
    <col min="243" max="16384" width="9.140625" style="93" customWidth="1"/>
  </cols>
  <sheetData>
    <row r="1" ht="15.75">
      <c r="G1" s="95" t="s">
        <v>16</v>
      </c>
    </row>
    <row r="2" ht="15.75">
      <c r="G2" s="95" t="s">
        <v>303</v>
      </c>
    </row>
    <row r="3" ht="15.75">
      <c r="G3" s="95" t="s">
        <v>18</v>
      </c>
    </row>
    <row r="4" ht="15.75">
      <c r="G4" s="95" t="s">
        <v>19</v>
      </c>
    </row>
    <row r="5" ht="15.75">
      <c r="G5" s="95" t="s">
        <v>20</v>
      </c>
    </row>
    <row r="6" ht="15.75">
      <c r="G6" s="95" t="s">
        <v>781</v>
      </c>
    </row>
    <row r="7" ht="15.75">
      <c r="G7" s="95" t="s">
        <v>782</v>
      </c>
    </row>
    <row r="9" spans="1:8" ht="117" customHeight="1">
      <c r="A9" s="365" t="s">
        <v>393</v>
      </c>
      <c r="B9" s="365"/>
      <c r="C9" s="365"/>
      <c r="D9" s="365"/>
      <c r="E9" s="365"/>
      <c r="F9" s="365"/>
      <c r="G9" s="365"/>
      <c r="H9" s="365"/>
    </row>
    <row r="11" spans="1:7" ht="15.75">
      <c r="A11" s="94"/>
      <c r="G11" s="96"/>
    </row>
    <row r="12" spans="1:8" ht="16.5">
      <c r="A12" s="97" t="s">
        <v>22</v>
      </c>
      <c r="B12" s="98" t="s">
        <v>304</v>
      </c>
      <c r="C12" s="98" t="s">
        <v>305</v>
      </c>
      <c r="D12" s="98" t="s">
        <v>187</v>
      </c>
      <c r="E12" s="98" t="s">
        <v>188</v>
      </c>
      <c r="F12" s="99" t="s">
        <v>23</v>
      </c>
      <c r="G12" s="99" t="s">
        <v>24</v>
      </c>
      <c r="H12" s="99" t="s">
        <v>174</v>
      </c>
    </row>
    <row r="13" spans="1:32" s="103" customFormat="1" ht="16.5">
      <c r="A13" s="100" t="s">
        <v>306</v>
      </c>
      <c r="B13" s="101"/>
      <c r="C13" s="101"/>
      <c r="D13" s="101"/>
      <c r="E13" s="101"/>
      <c r="F13" s="102">
        <f>F14+F189+F105+F116+F229+F221+F141+F153+F183+F177+F99</f>
        <v>1444303514.9099998</v>
      </c>
      <c r="G13" s="102">
        <f>G14+G189+G105+G116+G229+G221+G141+G153+G183+G177+G99</f>
        <v>600178656.79</v>
      </c>
      <c r="H13" s="102">
        <f>H14+H189+H105+H116+H229+H221+H141+H153+H183+H177+H99</f>
        <v>600178656.79</v>
      </c>
      <c r="I13" s="169"/>
      <c r="J13" s="299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1"/>
      <c r="V13" s="301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32" s="103" customFormat="1" ht="16.5">
      <c r="A14" s="70" t="s">
        <v>307</v>
      </c>
      <c r="B14" s="105" t="s">
        <v>308</v>
      </c>
      <c r="C14" s="105"/>
      <c r="D14" s="105"/>
      <c r="E14" s="105"/>
      <c r="F14" s="106">
        <f>F15+F20+F27+F35+F53+F58+F48</f>
        <v>691126363.28</v>
      </c>
      <c r="G14" s="106">
        <f>G15+G20+G27+G35+G53+G58+G48</f>
        <v>557460927.11</v>
      </c>
      <c r="H14" s="106">
        <f>H15+H20+H27+H35+H53+H58+H48</f>
        <v>557460927.11</v>
      </c>
      <c r="I14" s="169"/>
      <c r="J14" s="299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1"/>
      <c r="V14" s="301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s="103" customFormat="1" ht="51">
      <c r="A15" s="70" t="s">
        <v>309</v>
      </c>
      <c r="B15" s="105" t="s">
        <v>308</v>
      </c>
      <c r="C15" s="105" t="s">
        <v>310</v>
      </c>
      <c r="D15" s="105"/>
      <c r="E15" s="105"/>
      <c r="F15" s="106">
        <f>F16</f>
        <v>8175148.1</v>
      </c>
      <c r="G15" s="106">
        <f aca="true" t="shared" si="0" ref="F15:H18">G16</f>
        <v>7119360</v>
      </c>
      <c r="H15" s="106">
        <f t="shared" si="0"/>
        <v>7119360</v>
      </c>
      <c r="I15" s="169"/>
      <c r="J15" s="299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1"/>
      <c r="V15" s="301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s="103" customFormat="1" ht="16.5">
      <c r="A16" s="70" t="s">
        <v>311</v>
      </c>
      <c r="B16" s="105" t="s">
        <v>308</v>
      </c>
      <c r="C16" s="105" t="s">
        <v>310</v>
      </c>
      <c r="D16" s="105" t="s">
        <v>312</v>
      </c>
      <c r="E16" s="105"/>
      <c r="F16" s="106">
        <f>F17</f>
        <v>8175148.1</v>
      </c>
      <c r="G16" s="106">
        <f t="shared" si="0"/>
        <v>7119360</v>
      </c>
      <c r="H16" s="106">
        <f t="shared" si="0"/>
        <v>7119360</v>
      </c>
      <c r="I16" s="169"/>
      <c r="J16" s="299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1"/>
      <c r="V16" s="301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8" ht="33.75">
      <c r="A17" s="48" t="s">
        <v>313</v>
      </c>
      <c r="B17" s="107" t="s">
        <v>308</v>
      </c>
      <c r="C17" s="107" t="s">
        <v>310</v>
      </c>
      <c r="D17" s="107" t="s">
        <v>314</v>
      </c>
      <c r="E17" s="107"/>
      <c r="F17" s="108">
        <f t="shared" si="0"/>
        <v>8175148.1</v>
      </c>
      <c r="G17" s="108">
        <f t="shared" si="0"/>
        <v>7119360</v>
      </c>
      <c r="H17" s="108">
        <f t="shared" si="0"/>
        <v>7119360</v>
      </c>
    </row>
    <row r="18" spans="1:8" ht="16.5">
      <c r="A18" s="48" t="s">
        <v>315</v>
      </c>
      <c r="B18" s="107" t="s">
        <v>308</v>
      </c>
      <c r="C18" s="107" t="s">
        <v>310</v>
      </c>
      <c r="D18" s="107" t="s">
        <v>316</v>
      </c>
      <c r="E18" s="107"/>
      <c r="F18" s="108">
        <f t="shared" si="0"/>
        <v>8175148.1</v>
      </c>
      <c r="G18" s="108">
        <f t="shared" si="0"/>
        <v>7119360</v>
      </c>
      <c r="H18" s="108">
        <f t="shared" si="0"/>
        <v>7119360</v>
      </c>
    </row>
    <row r="19" spans="1:8" ht="84.75">
      <c r="A19" s="48" t="s">
        <v>194</v>
      </c>
      <c r="B19" s="107" t="s">
        <v>308</v>
      </c>
      <c r="C19" s="107" t="s">
        <v>310</v>
      </c>
      <c r="D19" s="107" t="s">
        <v>316</v>
      </c>
      <c r="E19" s="107" t="s">
        <v>229</v>
      </c>
      <c r="F19" s="109">
        <f>7119360+1064188.1-8400</f>
        <v>8175148.1</v>
      </c>
      <c r="G19" s="109">
        <v>7119360</v>
      </c>
      <c r="H19" s="109">
        <v>7119360</v>
      </c>
    </row>
    <row r="20" spans="1:32" s="103" customFormat="1" ht="67.5">
      <c r="A20" s="70" t="s">
        <v>317</v>
      </c>
      <c r="B20" s="105" t="s">
        <v>308</v>
      </c>
      <c r="C20" s="105" t="s">
        <v>318</v>
      </c>
      <c r="D20" s="105"/>
      <c r="E20" s="105"/>
      <c r="F20" s="106">
        <f aca="true" t="shared" si="1" ref="F20:H22">F21</f>
        <v>3747101.33</v>
      </c>
      <c r="G20" s="106">
        <f t="shared" si="1"/>
        <v>3952396.66</v>
      </c>
      <c r="H20" s="106">
        <f t="shared" si="1"/>
        <v>3952396.66</v>
      </c>
      <c r="I20" s="169"/>
      <c r="J20" s="299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1"/>
      <c r="V20" s="301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s="103" customFormat="1" ht="16.5">
      <c r="A21" s="70" t="s">
        <v>311</v>
      </c>
      <c r="B21" s="105" t="s">
        <v>308</v>
      </c>
      <c r="C21" s="105" t="s">
        <v>318</v>
      </c>
      <c r="D21" s="105" t="s">
        <v>312</v>
      </c>
      <c r="E21" s="105"/>
      <c r="F21" s="106">
        <f t="shared" si="1"/>
        <v>3747101.33</v>
      </c>
      <c r="G21" s="106">
        <f t="shared" si="1"/>
        <v>3952396.66</v>
      </c>
      <c r="H21" s="106">
        <f t="shared" si="1"/>
        <v>3952396.66</v>
      </c>
      <c r="I21" s="169"/>
      <c r="J21" s="299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1"/>
      <c r="V21" s="301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8" ht="33.75">
      <c r="A22" s="48" t="s">
        <v>313</v>
      </c>
      <c r="B22" s="107" t="s">
        <v>308</v>
      </c>
      <c r="C22" s="107" t="s">
        <v>318</v>
      </c>
      <c r="D22" s="107" t="s">
        <v>314</v>
      </c>
      <c r="E22" s="107"/>
      <c r="F22" s="108">
        <f t="shared" si="1"/>
        <v>3747101.33</v>
      </c>
      <c r="G22" s="108">
        <f t="shared" si="1"/>
        <v>3952396.66</v>
      </c>
      <c r="H22" s="108">
        <f t="shared" si="1"/>
        <v>3952396.66</v>
      </c>
    </row>
    <row r="23" spans="1:8" ht="33.75">
      <c r="A23" s="46" t="s">
        <v>319</v>
      </c>
      <c r="B23" s="107" t="s">
        <v>308</v>
      </c>
      <c r="C23" s="107" t="s">
        <v>318</v>
      </c>
      <c r="D23" s="107" t="s">
        <v>320</v>
      </c>
      <c r="E23" s="107"/>
      <c r="F23" s="108">
        <f>F24+F25+F26</f>
        <v>3747101.33</v>
      </c>
      <c r="G23" s="108">
        <f>G24+G25+G26</f>
        <v>3952396.66</v>
      </c>
      <c r="H23" s="108">
        <f>H24+H25+H26</f>
        <v>3952396.66</v>
      </c>
    </row>
    <row r="24" spans="1:8" ht="84.75">
      <c r="A24" s="48" t="s">
        <v>194</v>
      </c>
      <c r="B24" s="107" t="s">
        <v>308</v>
      </c>
      <c r="C24" s="107" t="s">
        <v>318</v>
      </c>
      <c r="D24" s="107" t="s">
        <v>320</v>
      </c>
      <c r="E24" s="107" t="s">
        <v>229</v>
      </c>
      <c r="F24" s="109">
        <f>958894.66-50000-334860-36524</f>
        <v>537510.66</v>
      </c>
      <c r="G24" s="109">
        <f>958894.66-50000-334860</f>
        <v>574034.66</v>
      </c>
      <c r="H24" s="109">
        <f>958894.66-50000-334860</f>
        <v>574034.66</v>
      </c>
    </row>
    <row r="25" spans="1:8" ht="33.75">
      <c r="A25" s="48" t="s">
        <v>195</v>
      </c>
      <c r="B25" s="107" t="s">
        <v>308</v>
      </c>
      <c r="C25" s="107" t="s">
        <v>318</v>
      </c>
      <c r="D25" s="107" t="s">
        <v>320</v>
      </c>
      <c r="E25" s="107" t="s">
        <v>252</v>
      </c>
      <c r="F25" s="109">
        <f>3358362-20000-41200-107571.33</f>
        <v>3189590.67</v>
      </c>
      <c r="G25" s="109">
        <v>3358362</v>
      </c>
      <c r="H25" s="109">
        <v>3358362</v>
      </c>
    </row>
    <row r="26" spans="1:8" ht="16.5">
      <c r="A26" s="48" t="s">
        <v>197</v>
      </c>
      <c r="B26" s="107" t="s">
        <v>308</v>
      </c>
      <c r="C26" s="107" t="s">
        <v>318</v>
      </c>
      <c r="D26" s="107" t="s">
        <v>320</v>
      </c>
      <c r="E26" s="107" t="s">
        <v>231</v>
      </c>
      <c r="F26" s="108">
        <v>20000</v>
      </c>
      <c r="G26" s="108">
        <v>20000</v>
      </c>
      <c r="H26" s="108">
        <v>20000</v>
      </c>
    </row>
    <row r="27" spans="1:32" s="103" customFormat="1" ht="67.5">
      <c r="A27" s="110" t="s">
        <v>321</v>
      </c>
      <c r="B27" s="105" t="s">
        <v>308</v>
      </c>
      <c r="C27" s="105" t="s">
        <v>322</v>
      </c>
      <c r="D27" s="105"/>
      <c r="E27" s="105"/>
      <c r="F27" s="106">
        <f aca="true" t="shared" si="2" ref="F27:H29">F28</f>
        <v>72640908.35</v>
      </c>
      <c r="G27" s="106">
        <f t="shared" si="2"/>
        <v>63299903.52</v>
      </c>
      <c r="H27" s="106">
        <f t="shared" si="2"/>
        <v>63299903.52</v>
      </c>
      <c r="I27" s="169"/>
      <c r="J27" s="299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1"/>
      <c r="V27" s="301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s="103" customFormat="1" ht="16.5">
      <c r="A28" s="70" t="s">
        <v>311</v>
      </c>
      <c r="B28" s="105" t="s">
        <v>308</v>
      </c>
      <c r="C28" s="105" t="s">
        <v>322</v>
      </c>
      <c r="D28" s="105" t="s">
        <v>312</v>
      </c>
      <c r="E28" s="105"/>
      <c r="F28" s="106">
        <f t="shared" si="2"/>
        <v>72640908.35</v>
      </c>
      <c r="G28" s="106">
        <f t="shared" si="2"/>
        <v>63299903.52</v>
      </c>
      <c r="H28" s="106">
        <f t="shared" si="2"/>
        <v>63299903.52</v>
      </c>
      <c r="I28" s="169"/>
      <c r="J28" s="299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1"/>
      <c r="V28" s="301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8" ht="33.75">
      <c r="A29" s="48" t="s">
        <v>313</v>
      </c>
      <c r="B29" s="107" t="s">
        <v>308</v>
      </c>
      <c r="C29" s="107" t="s">
        <v>322</v>
      </c>
      <c r="D29" s="107" t="s">
        <v>314</v>
      </c>
      <c r="E29" s="107"/>
      <c r="F29" s="108">
        <f t="shared" si="2"/>
        <v>72640908.35</v>
      </c>
      <c r="G29" s="108">
        <f t="shared" si="2"/>
        <v>63299903.52</v>
      </c>
      <c r="H29" s="108">
        <f t="shared" si="2"/>
        <v>63299903.52</v>
      </c>
    </row>
    <row r="30" spans="1:8" ht="33.75">
      <c r="A30" s="48" t="s">
        <v>323</v>
      </c>
      <c r="B30" s="107" t="s">
        <v>308</v>
      </c>
      <c r="C30" s="107" t="s">
        <v>322</v>
      </c>
      <c r="D30" s="107" t="s">
        <v>324</v>
      </c>
      <c r="E30" s="107"/>
      <c r="F30" s="108">
        <f>F31+F32+F33+F34</f>
        <v>72640908.35</v>
      </c>
      <c r="G30" s="108">
        <f>G31+G32+G33+G34</f>
        <v>63299903.52</v>
      </c>
      <c r="H30" s="108">
        <f>H31+H32+H33+H34</f>
        <v>63299903.52</v>
      </c>
    </row>
    <row r="31" spans="1:8" ht="84.75">
      <c r="A31" s="48" t="s">
        <v>194</v>
      </c>
      <c r="B31" s="107" t="s">
        <v>308</v>
      </c>
      <c r="C31" s="107" t="s">
        <v>322</v>
      </c>
      <c r="D31" s="107" t="s">
        <v>324</v>
      </c>
      <c r="E31" s="107" t="s">
        <v>229</v>
      </c>
      <c r="F31" s="109">
        <f>55739767.95+1207789.57+7888208.55+1885701.25-622605.4-107250.57-750000+2437965.79</f>
        <v>67679577.14</v>
      </c>
      <c r="G31" s="109">
        <v>56947557.52</v>
      </c>
      <c r="H31" s="109">
        <v>56947557.52</v>
      </c>
    </row>
    <row r="32" spans="1:8" ht="33.75">
      <c r="A32" s="48" t="s">
        <v>195</v>
      </c>
      <c r="B32" s="107" t="s">
        <v>308</v>
      </c>
      <c r="C32" s="107" t="s">
        <v>322</v>
      </c>
      <c r="D32" s="107" t="s">
        <v>324</v>
      </c>
      <c r="E32" s="107" t="s">
        <v>252</v>
      </c>
      <c r="F32" s="109">
        <f>6198730-792500-196700+35464-281289.36-105240-158000</f>
        <v>4700464.64</v>
      </c>
      <c r="G32" s="109">
        <v>6198730</v>
      </c>
      <c r="H32" s="109">
        <v>6198730</v>
      </c>
    </row>
    <row r="33" spans="1:8" ht="16.5">
      <c r="A33" s="48" t="s">
        <v>196</v>
      </c>
      <c r="B33" s="107" t="s">
        <v>308</v>
      </c>
      <c r="C33" s="107" t="s">
        <v>322</v>
      </c>
      <c r="D33" s="107" t="s">
        <v>324</v>
      </c>
      <c r="E33" s="107" t="s">
        <v>257</v>
      </c>
      <c r="F33" s="109">
        <v>107250.57</v>
      </c>
      <c r="G33" s="109">
        <v>0</v>
      </c>
      <c r="H33" s="109">
        <v>0</v>
      </c>
    </row>
    <row r="34" spans="1:8" ht="16.5">
      <c r="A34" s="48" t="s">
        <v>197</v>
      </c>
      <c r="B34" s="107" t="s">
        <v>308</v>
      </c>
      <c r="C34" s="107" t="s">
        <v>322</v>
      </c>
      <c r="D34" s="107" t="s">
        <v>324</v>
      </c>
      <c r="E34" s="107" t="s">
        <v>231</v>
      </c>
      <c r="F34" s="109">
        <v>153616</v>
      </c>
      <c r="G34" s="109">
        <v>153616</v>
      </c>
      <c r="H34" s="109">
        <v>153616</v>
      </c>
    </row>
    <row r="35" spans="1:32" s="103" customFormat="1" ht="51">
      <c r="A35" s="70" t="s">
        <v>325</v>
      </c>
      <c r="B35" s="105" t="s">
        <v>308</v>
      </c>
      <c r="C35" s="105" t="s">
        <v>326</v>
      </c>
      <c r="D35" s="105"/>
      <c r="E35" s="105"/>
      <c r="F35" s="106">
        <f>F36</f>
        <v>46506532.81</v>
      </c>
      <c r="G35" s="106">
        <f>G36</f>
        <v>39410172.07</v>
      </c>
      <c r="H35" s="106">
        <f>H36</f>
        <v>39410172.07</v>
      </c>
      <c r="I35" s="169"/>
      <c r="J35" s="299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1"/>
      <c r="V35" s="301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s="103" customFormat="1" ht="16.5">
      <c r="A36" s="70" t="s">
        <v>311</v>
      </c>
      <c r="B36" s="105" t="s">
        <v>308</v>
      </c>
      <c r="C36" s="105" t="s">
        <v>326</v>
      </c>
      <c r="D36" s="105" t="s">
        <v>312</v>
      </c>
      <c r="E36" s="105"/>
      <c r="F36" s="106">
        <f>F37+F44</f>
        <v>46506532.81</v>
      </c>
      <c r="G36" s="106">
        <f>G37+G44</f>
        <v>39410172.07</v>
      </c>
      <c r="H36" s="106">
        <f>H37+H44</f>
        <v>39410172.07</v>
      </c>
      <c r="I36" s="169"/>
      <c r="J36" s="299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1"/>
      <c r="V36" s="301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8" ht="33.75">
      <c r="A37" s="48" t="s">
        <v>313</v>
      </c>
      <c r="B37" s="107" t="s">
        <v>308</v>
      </c>
      <c r="C37" s="107" t="s">
        <v>326</v>
      </c>
      <c r="D37" s="107" t="s">
        <v>314</v>
      </c>
      <c r="E37" s="107"/>
      <c r="F37" s="108">
        <f>F38+F40</f>
        <v>12115981.81</v>
      </c>
      <c r="G37" s="108">
        <f>G38+G40</f>
        <v>10145858.07</v>
      </c>
      <c r="H37" s="108">
        <f>H38+H40</f>
        <v>10145858.07</v>
      </c>
    </row>
    <row r="38" spans="1:8" ht="33.75">
      <c r="A38" s="48" t="s">
        <v>327</v>
      </c>
      <c r="B38" s="107" t="s">
        <v>308</v>
      </c>
      <c r="C38" s="107" t="s">
        <v>326</v>
      </c>
      <c r="D38" s="107" t="s">
        <v>328</v>
      </c>
      <c r="E38" s="107"/>
      <c r="F38" s="108">
        <f>F39</f>
        <v>4426687.54</v>
      </c>
      <c r="G38" s="108">
        <f>G39</f>
        <v>3314252</v>
      </c>
      <c r="H38" s="108">
        <f>H39</f>
        <v>3314252</v>
      </c>
    </row>
    <row r="39" spans="1:8" ht="84.75">
      <c r="A39" s="48" t="s">
        <v>194</v>
      </c>
      <c r="B39" s="107" t="s">
        <v>308</v>
      </c>
      <c r="C39" s="107" t="s">
        <v>326</v>
      </c>
      <c r="D39" s="107" t="s">
        <v>328</v>
      </c>
      <c r="E39" s="107" t="s">
        <v>229</v>
      </c>
      <c r="F39" s="108">
        <f>3314252+480480+633705.54-1750</f>
        <v>4426687.54</v>
      </c>
      <c r="G39" s="108">
        <v>3314252</v>
      </c>
      <c r="H39" s="108">
        <v>3314252</v>
      </c>
    </row>
    <row r="40" spans="1:8" ht="33.75">
      <c r="A40" s="48" t="s">
        <v>323</v>
      </c>
      <c r="B40" s="107" t="s">
        <v>308</v>
      </c>
      <c r="C40" s="107" t="s">
        <v>326</v>
      </c>
      <c r="D40" s="107" t="s">
        <v>324</v>
      </c>
      <c r="E40" s="107"/>
      <c r="F40" s="108">
        <f>F41+F42+F43</f>
        <v>7689294.2700000005</v>
      </c>
      <c r="G40" s="108">
        <f>G41+G42+G43</f>
        <v>6831606.07</v>
      </c>
      <c r="H40" s="108">
        <f>H41+H42+H43</f>
        <v>6831606.07</v>
      </c>
    </row>
    <row r="41" spans="1:8" ht="84.75">
      <c r="A41" s="48" t="s">
        <v>194</v>
      </c>
      <c r="B41" s="107" t="s">
        <v>308</v>
      </c>
      <c r="C41" s="107" t="s">
        <v>326</v>
      </c>
      <c r="D41" s="107" t="s">
        <v>324</v>
      </c>
      <c r="E41" s="107" t="s">
        <v>229</v>
      </c>
      <c r="F41" s="109">
        <f>5439106.07+475554+79641+433634.2</f>
        <v>6427935.2700000005</v>
      </c>
      <c r="G41" s="109">
        <v>5439106.07</v>
      </c>
      <c r="H41" s="109">
        <v>5439106.07</v>
      </c>
    </row>
    <row r="42" spans="1:8" ht="33.75">
      <c r="A42" s="48" t="s">
        <v>195</v>
      </c>
      <c r="B42" s="107" t="s">
        <v>308</v>
      </c>
      <c r="C42" s="107" t="s">
        <v>326</v>
      </c>
      <c r="D42" s="107" t="s">
        <v>324</v>
      </c>
      <c r="E42" s="107" t="s">
        <v>252</v>
      </c>
      <c r="F42" s="109">
        <f>1392500-50000-79641-1500</f>
        <v>1261359</v>
      </c>
      <c r="G42" s="109">
        <v>1392500</v>
      </c>
      <c r="H42" s="109">
        <v>1392500</v>
      </c>
    </row>
    <row r="43" spans="1:8" ht="16.5" hidden="1">
      <c r="A43" s="48" t="s">
        <v>196</v>
      </c>
      <c r="B43" s="107" t="s">
        <v>308</v>
      </c>
      <c r="C43" s="107" t="s">
        <v>326</v>
      </c>
      <c r="D43" s="107" t="s">
        <v>324</v>
      </c>
      <c r="E43" s="107" t="s">
        <v>257</v>
      </c>
      <c r="F43" s="109">
        <v>0</v>
      </c>
      <c r="G43" s="109">
        <v>0</v>
      </c>
      <c r="H43" s="109">
        <v>0</v>
      </c>
    </row>
    <row r="44" spans="1:8" ht="33.75">
      <c r="A44" s="48" t="s">
        <v>323</v>
      </c>
      <c r="B44" s="107" t="s">
        <v>308</v>
      </c>
      <c r="C44" s="107" t="s">
        <v>326</v>
      </c>
      <c r="D44" s="107" t="s">
        <v>324</v>
      </c>
      <c r="E44" s="107"/>
      <c r="F44" s="108">
        <f>F45+F46+F47</f>
        <v>34390551</v>
      </c>
      <c r="G44" s="108">
        <f>G45+G46+G47</f>
        <v>29264314</v>
      </c>
      <c r="H44" s="108">
        <f>H45+H46+H47</f>
        <v>29264314</v>
      </c>
    </row>
    <row r="45" spans="1:8" ht="84.75">
      <c r="A45" s="48" t="s">
        <v>194</v>
      </c>
      <c r="B45" s="107" t="s">
        <v>308</v>
      </c>
      <c r="C45" s="107" t="s">
        <v>326</v>
      </c>
      <c r="D45" s="107" t="s">
        <v>324</v>
      </c>
      <c r="E45" s="107" t="s">
        <v>229</v>
      </c>
      <c r="F45" s="108">
        <f>27336314+2581476+2330596+534165-18.09</f>
        <v>32782532.91</v>
      </c>
      <c r="G45" s="108">
        <v>27336314</v>
      </c>
      <c r="H45" s="108">
        <v>27336314</v>
      </c>
    </row>
    <row r="46" spans="1:8" ht="33.75">
      <c r="A46" s="48" t="s">
        <v>195</v>
      </c>
      <c r="B46" s="107" t="s">
        <v>308</v>
      </c>
      <c r="C46" s="107" t="s">
        <v>326</v>
      </c>
      <c r="D46" s="107" t="s">
        <v>324</v>
      </c>
      <c r="E46" s="107" t="s">
        <v>252</v>
      </c>
      <c r="F46" s="109">
        <f>1928000-120000-200000</f>
        <v>1608000</v>
      </c>
      <c r="G46" s="109">
        <v>1928000</v>
      </c>
      <c r="H46" s="109">
        <v>1928000</v>
      </c>
    </row>
    <row r="47" spans="1:8" ht="16.5">
      <c r="A47" s="48" t="s">
        <v>197</v>
      </c>
      <c r="B47" s="107" t="s">
        <v>308</v>
      </c>
      <c r="C47" s="107" t="s">
        <v>326</v>
      </c>
      <c r="D47" s="107" t="s">
        <v>324</v>
      </c>
      <c r="E47" s="107" t="s">
        <v>231</v>
      </c>
      <c r="F47" s="109">
        <v>18.09</v>
      </c>
      <c r="G47" s="109">
        <v>0</v>
      </c>
      <c r="H47" s="109">
        <v>0</v>
      </c>
    </row>
    <row r="48" spans="1:8" ht="16.5">
      <c r="A48" s="70" t="s">
        <v>400</v>
      </c>
      <c r="B48" s="105" t="s">
        <v>308</v>
      </c>
      <c r="C48" s="105" t="s">
        <v>362</v>
      </c>
      <c r="D48" s="105"/>
      <c r="E48" s="105"/>
      <c r="F48" s="111">
        <f>F49</f>
        <v>6970452</v>
      </c>
      <c r="G48" s="111">
        <f aca="true" t="shared" si="3" ref="G48:H51">G49</f>
        <v>0</v>
      </c>
      <c r="H48" s="111">
        <f t="shared" si="3"/>
        <v>0</v>
      </c>
    </row>
    <row r="49" spans="1:8" ht="16.5">
      <c r="A49" s="70" t="s">
        <v>311</v>
      </c>
      <c r="B49" s="105" t="s">
        <v>308</v>
      </c>
      <c r="C49" s="105" t="s">
        <v>362</v>
      </c>
      <c r="D49" s="105" t="s">
        <v>312</v>
      </c>
      <c r="E49" s="105"/>
      <c r="F49" s="111">
        <f>F50</f>
        <v>6970452</v>
      </c>
      <c r="G49" s="111">
        <f t="shared" si="3"/>
        <v>0</v>
      </c>
      <c r="H49" s="111">
        <f t="shared" si="3"/>
        <v>0</v>
      </c>
    </row>
    <row r="50" spans="1:8" ht="16.5">
      <c r="A50" s="48" t="s">
        <v>399</v>
      </c>
      <c r="B50" s="107" t="s">
        <v>308</v>
      </c>
      <c r="C50" s="107" t="s">
        <v>362</v>
      </c>
      <c r="D50" s="107" t="s">
        <v>398</v>
      </c>
      <c r="E50" s="107"/>
      <c r="F50" s="109">
        <f>F51</f>
        <v>6970452</v>
      </c>
      <c r="G50" s="109">
        <f t="shared" si="3"/>
        <v>0</v>
      </c>
      <c r="H50" s="109">
        <f t="shared" si="3"/>
        <v>0</v>
      </c>
    </row>
    <row r="51" spans="1:8" ht="16.5">
      <c r="A51" s="48" t="s">
        <v>397</v>
      </c>
      <c r="B51" s="107" t="s">
        <v>308</v>
      </c>
      <c r="C51" s="107" t="s">
        <v>362</v>
      </c>
      <c r="D51" s="107" t="s">
        <v>776</v>
      </c>
      <c r="E51" s="107"/>
      <c r="F51" s="109">
        <f>F52</f>
        <v>6970452</v>
      </c>
      <c r="G51" s="109">
        <f t="shared" si="3"/>
        <v>0</v>
      </c>
      <c r="H51" s="109">
        <f t="shared" si="3"/>
        <v>0</v>
      </c>
    </row>
    <row r="52" spans="1:8" ht="16.5">
      <c r="A52" s="48" t="s">
        <v>197</v>
      </c>
      <c r="B52" s="107" t="s">
        <v>308</v>
      </c>
      <c r="C52" s="107" t="s">
        <v>362</v>
      </c>
      <c r="D52" s="107" t="s">
        <v>776</v>
      </c>
      <c r="E52" s="107" t="s">
        <v>231</v>
      </c>
      <c r="F52" s="109">
        <v>6970452</v>
      </c>
      <c r="G52" s="109">
        <v>0</v>
      </c>
      <c r="H52" s="109">
        <v>0</v>
      </c>
    </row>
    <row r="53" spans="1:32" s="103" customFormat="1" ht="16.5">
      <c r="A53" s="70" t="s">
        <v>329</v>
      </c>
      <c r="B53" s="105" t="s">
        <v>308</v>
      </c>
      <c r="C53" s="105" t="s">
        <v>330</v>
      </c>
      <c r="D53" s="105"/>
      <c r="E53" s="105"/>
      <c r="F53" s="106">
        <f aca="true" t="shared" si="4" ref="F53:H56">F54</f>
        <v>5802529.829999991</v>
      </c>
      <c r="G53" s="106">
        <f t="shared" si="4"/>
        <v>30000000</v>
      </c>
      <c r="H53" s="106">
        <f t="shared" si="4"/>
        <v>30000000</v>
      </c>
      <c r="I53" s="169"/>
      <c r="J53" s="299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1"/>
      <c r="V53" s="301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1:32" s="103" customFormat="1" ht="16.5">
      <c r="A54" s="70" t="s">
        <v>311</v>
      </c>
      <c r="B54" s="105" t="s">
        <v>308</v>
      </c>
      <c r="C54" s="105" t="s">
        <v>330</v>
      </c>
      <c r="D54" s="105" t="s">
        <v>312</v>
      </c>
      <c r="E54" s="105"/>
      <c r="F54" s="106">
        <f t="shared" si="4"/>
        <v>5802529.829999991</v>
      </c>
      <c r="G54" s="106">
        <f t="shared" si="4"/>
        <v>30000000</v>
      </c>
      <c r="H54" s="106">
        <f t="shared" si="4"/>
        <v>30000000</v>
      </c>
      <c r="I54" s="169"/>
      <c r="J54" s="299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1"/>
      <c r="V54" s="301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</row>
    <row r="55" spans="1:8" ht="16.5">
      <c r="A55" s="48" t="s">
        <v>331</v>
      </c>
      <c r="B55" s="107" t="s">
        <v>308</v>
      </c>
      <c r="C55" s="107" t="s">
        <v>330</v>
      </c>
      <c r="D55" s="107" t="s">
        <v>332</v>
      </c>
      <c r="E55" s="107"/>
      <c r="F55" s="108">
        <f t="shared" si="4"/>
        <v>5802529.829999991</v>
      </c>
      <c r="G55" s="108">
        <f t="shared" si="4"/>
        <v>30000000</v>
      </c>
      <c r="H55" s="108">
        <f t="shared" si="4"/>
        <v>30000000</v>
      </c>
    </row>
    <row r="56" spans="1:16" ht="16.5">
      <c r="A56" s="48" t="s">
        <v>333</v>
      </c>
      <c r="B56" s="107" t="s">
        <v>308</v>
      </c>
      <c r="C56" s="107" t="s">
        <v>330</v>
      </c>
      <c r="D56" s="107" t="s">
        <v>334</v>
      </c>
      <c r="E56" s="107"/>
      <c r="F56" s="108">
        <f t="shared" si="4"/>
        <v>5802529.829999991</v>
      </c>
      <c r="G56" s="108">
        <f t="shared" si="4"/>
        <v>30000000</v>
      </c>
      <c r="H56" s="108">
        <f t="shared" si="4"/>
        <v>30000000</v>
      </c>
      <c r="O56" s="302"/>
      <c r="P56" s="302"/>
    </row>
    <row r="57" spans="1:26" ht="18">
      <c r="A57" s="48" t="s">
        <v>197</v>
      </c>
      <c r="B57" s="107" t="s">
        <v>308</v>
      </c>
      <c r="C57" s="107" t="s">
        <v>330</v>
      </c>
      <c r="D57" s="107" t="s">
        <v>334</v>
      </c>
      <c r="E57" s="107" t="s">
        <v>231</v>
      </c>
      <c r="F57" s="109">
        <f>50000000-2500000-608800-4561714.79-1953351.6+2500000+608800+4561714.79-491373.36+491373.36-396190.28+396190.28-4000000+4000000-164798.4+164798.4-22228.88-714078+714078-908760+908760-10000000-4800731.99-460919-1062299-75000-4798676.55-4768543.23-767156-1000000-1466300+1466300-301004.68+301004.68-2596000+2596000-36370-50000-370880.92-5080000-8951943-971100+971100+630</f>
        <v>5802529.829999991</v>
      </c>
      <c r="G57" s="109">
        <v>30000000</v>
      </c>
      <c r="H57" s="109">
        <v>30000000</v>
      </c>
      <c r="V57" s="302"/>
      <c r="Z57" s="329"/>
    </row>
    <row r="58" spans="1:32" s="103" customFormat="1" ht="16.5">
      <c r="A58" s="70" t="s">
        <v>335</v>
      </c>
      <c r="B58" s="105" t="s">
        <v>308</v>
      </c>
      <c r="C58" s="105" t="s">
        <v>336</v>
      </c>
      <c r="D58" s="105"/>
      <c r="E58" s="105"/>
      <c r="F58" s="106">
        <f>F59</f>
        <v>547283690.86</v>
      </c>
      <c r="G58" s="106">
        <f>G59</f>
        <v>413679094.86</v>
      </c>
      <c r="H58" s="106">
        <f>H59</f>
        <v>413679094.86</v>
      </c>
      <c r="I58" s="169"/>
      <c r="J58" s="299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1"/>
      <c r="V58" s="301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1:32" s="103" customFormat="1" ht="16.5">
      <c r="A59" s="70" t="s">
        <v>311</v>
      </c>
      <c r="B59" s="105" t="s">
        <v>308</v>
      </c>
      <c r="C59" s="105" t="s">
        <v>336</v>
      </c>
      <c r="D59" s="101">
        <v>9900000000</v>
      </c>
      <c r="E59" s="105"/>
      <c r="F59" s="106">
        <f>F60+F83</f>
        <v>547283690.86</v>
      </c>
      <c r="G59" s="106">
        <f>G60+G83</f>
        <v>413679094.86</v>
      </c>
      <c r="H59" s="106">
        <f>H60+H83</f>
        <v>413679094.86</v>
      </c>
      <c r="I59" s="169"/>
      <c r="J59" s="299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1"/>
      <c r="V59" s="301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1:8" ht="33.75">
      <c r="A60" s="48" t="s">
        <v>313</v>
      </c>
      <c r="B60" s="107" t="s">
        <v>308</v>
      </c>
      <c r="C60" s="107" t="s">
        <v>336</v>
      </c>
      <c r="D60" s="98">
        <v>9910000000</v>
      </c>
      <c r="E60" s="107"/>
      <c r="F60" s="108">
        <f>F61+F63+F65+F69+F71+F75+F79</f>
        <v>443755541.90999997</v>
      </c>
      <c r="G60" s="108">
        <f>G61+G63+G65+G69+G71+G75+G79</f>
        <v>408093714.86</v>
      </c>
      <c r="H60" s="108">
        <f>H61+H63+H65+H69+H71+H75+H79</f>
        <v>408093714.86</v>
      </c>
    </row>
    <row r="61" spans="1:8" ht="33.75">
      <c r="A61" s="46" t="s">
        <v>323</v>
      </c>
      <c r="B61" s="107" t="s">
        <v>308</v>
      </c>
      <c r="C61" s="107" t="s">
        <v>336</v>
      </c>
      <c r="D61" s="98">
        <v>9910011410</v>
      </c>
      <c r="E61" s="107"/>
      <c r="F61" s="108">
        <f>F62</f>
        <v>1547998.38</v>
      </c>
      <c r="G61" s="108">
        <f>G62</f>
        <v>1098864.13</v>
      </c>
      <c r="H61" s="108">
        <f>H62</f>
        <v>1098864.13</v>
      </c>
    </row>
    <row r="62" spans="1:8" ht="84.75">
      <c r="A62" s="46" t="s">
        <v>194</v>
      </c>
      <c r="B62" s="107" t="s">
        <v>308</v>
      </c>
      <c r="C62" s="107" t="s">
        <v>336</v>
      </c>
      <c r="D62" s="98">
        <v>9910011410</v>
      </c>
      <c r="E62" s="107" t="s">
        <v>229</v>
      </c>
      <c r="F62" s="108">
        <f>1098864.13-112217.36+367452.85+193898.76</f>
        <v>1547998.38</v>
      </c>
      <c r="G62" s="108">
        <v>1098864.13</v>
      </c>
      <c r="H62" s="108">
        <v>1098864.13</v>
      </c>
    </row>
    <row r="63" spans="1:8" ht="33.75">
      <c r="A63" s="46" t="s">
        <v>337</v>
      </c>
      <c r="B63" s="107" t="s">
        <v>308</v>
      </c>
      <c r="C63" s="107" t="s">
        <v>336</v>
      </c>
      <c r="D63" s="98">
        <v>9910022001</v>
      </c>
      <c r="E63" s="107"/>
      <c r="F63" s="108">
        <f>F64</f>
        <v>1380286</v>
      </c>
      <c r="G63" s="108">
        <f>G64</f>
        <v>2287286</v>
      </c>
      <c r="H63" s="108">
        <f>H64</f>
        <v>2287286</v>
      </c>
    </row>
    <row r="64" spans="1:8" ht="84.75">
      <c r="A64" s="46" t="s">
        <v>194</v>
      </c>
      <c r="B64" s="107" t="s">
        <v>308</v>
      </c>
      <c r="C64" s="107" t="s">
        <v>336</v>
      </c>
      <c r="D64" s="98">
        <v>9910022001</v>
      </c>
      <c r="E64" s="107" t="s">
        <v>229</v>
      </c>
      <c r="F64" s="108">
        <f>2287286-907000</f>
        <v>1380286</v>
      </c>
      <c r="G64" s="108">
        <v>2287286</v>
      </c>
      <c r="H64" s="108">
        <v>2287286</v>
      </c>
    </row>
    <row r="65" spans="1:8" ht="33.75">
      <c r="A65" s="46" t="s">
        <v>337</v>
      </c>
      <c r="B65" s="107" t="s">
        <v>308</v>
      </c>
      <c r="C65" s="107" t="s">
        <v>336</v>
      </c>
      <c r="D65" s="98">
        <v>9910022001</v>
      </c>
      <c r="E65" s="107"/>
      <c r="F65" s="108">
        <f>F66+F67+F68</f>
        <v>5356829.630000001</v>
      </c>
      <c r="G65" s="108">
        <f>G66+G67+G68</f>
        <v>5125073.63</v>
      </c>
      <c r="H65" s="108">
        <f>H66+H67+H68</f>
        <v>5125073.63</v>
      </c>
    </row>
    <row r="66" spans="1:8" ht="84.75">
      <c r="A66" s="48" t="s">
        <v>194</v>
      </c>
      <c r="B66" s="107" t="s">
        <v>308</v>
      </c>
      <c r="C66" s="107" t="s">
        <v>336</v>
      </c>
      <c r="D66" s="98">
        <v>9910022001</v>
      </c>
      <c r="E66" s="107" t="s">
        <v>229</v>
      </c>
      <c r="F66" s="109">
        <f>4293590.99+54370+182683+50000-55297+55607.12</f>
        <v>4580954.11</v>
      </c>
      <c r="G66" s="109">
        <v>4293590.99</v>
      </c>
      <c r="H66" s="109">
        <v>4293590.99</v>
      </c>
    </row>
    <row r="67" spans="1:8" ht="33.75">
      <c r="A67" s="48" t="s">
        <v>195</v>
      </c>
      <c r="B67" s="107" t="s">
        <v>308</v>
      </c>
      <c r="C67" s="107" t="s">
        <v>336</v>
      </c>
      <c r="D67" s="98">
        <v>9910022001</v>
      </c>
      <c r="E67" s="107" t="s">
        <v>252</v>
      </c>
      <c r="F67" s="109">
        <f>831482.64-3000-52607.12</f>
        <v>775875.52</v>
      </c>
      <c r="G67" s="109">
        <v>831482.64</v>
      </c>
      <c r="H67" s="109">
        <v>831482.64</v>
      </c>
    </row>
    <row r="68" spans="1:8" ht="16.5">
      <c r="A68" s="48" t="s">
        <v>197</v>
      </c>
      <c r="B68" s="107" t="s">
        <v>308</v>
      </c>
      <c r="C68" s="107" t="s">
        <v>336</v>
      </c>
      <c r="D68" s="98">
        <v>9910022001</v>
      </c>
      <c r="E68" s="107" t="s">
        <v>231</v>
      </c>
      <c r="F68" s="109">
        <f>3000-3000</f>
        <v>0</v>
      </c>
      <c r="G68" s="109">
        <v>0</v>
      </c>
      <c r="H68" s="109">
        <v>0</v>
      </c>
    </row>
    <row r="69" spans="1:8" ht="33.75">
      <c r="A69" s="46" t="s">
        <v>337</v>
      </c>
      <c r="B69" s="107" t="s">
        <v>308</v>
      </c>
      <c r="C69" s="107" t="s">
        <v>336</v>
      </c>
      <c r="D69" s="98">
        <v>9910022001</v>
      </c>
      <c r="E69" s="107"/>
      <c r="F69" s="108">
        <f>SUM(F70:F70)</f>
        <v>290760354.23</v>
      </c>
      <c r="G69" s="108">
        <f>SUM(G70:G70)</f>
        <v>256831322.82</v>
      </c>
      <c r="H69" s="108">
        <f>SUM(H70:H70)</f>
        <v>256831322.82</v>
      </c>
    </row>
    <row r="70" spans="1:8" ht="33.75">
      <c r="A70" s="46" t="s">
        <v>204</v>
      </c>
      <c r="B70" s="107" t="s">
        <v>308</v>
      </c>
      <c r="C70" s="107" t="s">
        <v>336</v>
      </c>
      <c r="D70" s="98">
        <v>9910022001</v>
      </c>
      <c r="E70" s="107" t="s">
        <v>338</v>
      </c>
      <c r="F70" s="352">
        <f>256831322.82+8500000+7900333.3+17528698.11</f>
        <v>290760354.23</v>
      </c>
      <c r="G70" s="352">
        <v>256831322.82</v>
      </c>
      <c r="H70" s="352">
        <v>256831322.82</v>
      </c>
    </row>
    <row r="71" spans="1:8" ht="33.75">
      <c r="A71" s="46" t="s">
        <v>337</v>
      </c>
      <c r="B71" s="107" t="s">
        <v>308</v>
      </c>
      <c r="C71" s="107" t="s">
        <v>336</v>
      </c>
      <c r="D71" s="98">
        <v>9910022001</v>
      </c>
      <c r="E71" s="107"/>
      <c r="F71" s="108">
        <f>SUM(F72:F74)</f>
        <v>50347499.16</v>
      </c>
      <c r="G71" s="108">
        <f>SUM(G72:G74)</f>
        <v>46041121</v>
      </c>
      <c r="H71" s="108">
        <f>SUM(H72:H74)</f>
        <v>46041121</v>
      </c>
    </row>
    <row r="72" spans="1:8" ht="84.75">
      <c r="A72" s="48" t="s">
        <v>194</v>
      </c>
      <c r="B72" s="107" t="s">
        <v>308</v>
      </c>
      <c r="C72" s="107" t="s">
        <v>336</v>
      </c>
      <c r="D72" s="98">
        <v>9910022001</v>
      </c>
      <c r="E72" s="107" t="s">
        <v>229</v>
      </c>
      <c r="F72" s="108">
        <f>42177697+3640484.45+784984.48-12600-750000+1506507.23</f>
        <v>47347073.16</v>
      </c>
      <c r="G72" s="108">
        <v>42177697</v>
      </c>
      <c r="H72" s="108">
        <v>42177697</v>
      </c>
    </row>
    <row r="73" spans="1:8" ht="33.75">
      <c r="A73" s="48" t="s">
        <v>195</v>
      </c>
      <c r="B73" s="107" t="s">
        <v>308</v>
      </c>
      <c r="C73" s="107" t="s">
        <v>336</v>
      </c>
      <c r="D73" s="98">
        <v>9910022001</v>
      </c>
      <c r="E73" s="107" t="s">
        <v>252</v>
      </c>
      <c r="F73" s="109">
        <f>3863424-348500-818992+98384+198960+245000-103850-134000</f>
        <v>3000426</v>
      </c>
      <c r="G73" s="109">
        <v>3863424</v>
      </c>
      <c r="H73" s="109">
        <v>3863424</v>
      </c>
    </row>
    <row r="74" spans="1:8" ht="16.5" hidden="1">
      <c r="A74" s="48" t="s">
        <v>197</v>
      </c>
      <c r="B74" s="107" t="s">
        <v>308</v>
      </c>
      <c r="C74" s="107" t="s">
        <v>336</v>
      </c>
      <c r="D74" s="98">
        <v>9910022001</v>
      </c>
      <c r="E74" s="107" t="s">
        <v>257</v>
      </c>
      <c r="F74" s="109"/>
      <c r="G74" s="109">
        <v>0</v>
      </c>
      <c r="H74" s="109">
        <v>0</v>
      </c>
    </row>
    <row r="75" spans="1:8" ht="33.75">
      <c r="A75" s="48" t="s">
        <v>313</v>
      </c>
      <c r="B75" s="107" t="s">
        <v>308</v>
      </c>
      <c r="C75" s="107" t="s">
        <v>336</v>
      </c>
      <c r="D75" s="98">
        <v>9910000000</v>
      </c>
      <c r="E75" s="98"/>
      <c r="F75" s="109">
        <f>F76+F77+F78</f>
        <v>12539747.68</v>
      </c>
      <c r="G75" s="109">
        <f>G76+G77+G78</f>
        <v>12971111.98</v>
      </c>
      <c r="H75" s="109">
        <f>H76+H77+H78</f>
        <v>12971111.98</v>
      </c>
    </row>
    <row r="76" spans="1:8" ht="84.75">
      <c r="A76" s="48" t="s">
        <v>194</v>
      </c>
      <c r="B76" s="107" t="s">
        <v>308</v>
      </c>
      <c r="C76" s="107" t="s">
        <v>336</v>
      </c>
      <c r="D76" s="98">
        <v>9910022001</v>
      </c>
      <c r="E76" s="98">
        <v>100</v>
      </c>
      <c r="F76" s="109">
        <f>9385978-2606442+183556-320932.3</f>
        <v>6642159.7</v>
      </c>
      <c r="G76" s="109">
        <f>9385978-2606442</f>
        <v>6779536</v>
      </c>
      <c r="H76" s="109">
        <f>9385978-2606442</f>
        <v>6779536</v>
      </c>
    </row>
    <row r="77" spans="1:8" ht="33.75">
      <c r="A77" s="48" t="s">
        <v>195</v>
      </c>
      <c r="B77" s="107" t="s">
        <v>308</v>
      </c>
      <c r="C77" s="107" t="s">
        <v>336</v>
      </c>
      <c r="D77" s="98">
        <v>9910022001</v>
      </c>
      <c r="E77" s="98">
        <v>200</v>
      </c>
      <c r="F77" s="109">
        <f>5113285.98-126856-81752-85380</f>
        <v>4819297.98</v>
      </c>
      <c r="G77" s="109">
        <v>5113285.98</v>
      </c>
      <c r="H77" s="109">
        <v>5113285.98</v>
      </c>
    </row>
    <row r="78" spans="1:8" ht="16.5">
      <c r="A78" s="46" t="s">
        <v>197</v>
      </c>
      <c r="B78" s="107" t="s">
        <v>308</v>
      </c>
      <c r="C78" s="107" t="s">
        <v>336</v>
      </c>
      <c r="D78" s="98">
        <v>9910022001</v>
      </c>
      <c r="E78" s="98">
        <v>800</v>
      </c>
      <c r="F78" s="109">
        <v>1078290</v>
      </c>
      <c r="G78" s="109">
        <v>1078290</v>
      </c>
      <c r="H78" s="109">
        <v>1078290</v>
      </c>
    </row>
    <row r="79" spans="1:8" ht="33.75">
      <c r="A79" s="48" t="s">
        <v>313</v>
      </c>
      <c r="B79" s="107" t="s">
        <v>308</v>
      </c>
      <c r="C79" s="107" t="s">
        <v>336</v>
      </c>
      <c r="D79" s="98">
        <v>9910000000</v>
      </c>
      <c r="E79" s="98"/>
      <c r="F79" s="109">
        <f>SUM(F80:F82)</f>
        <v>81822826.82999998</v>
      </c>
      <c r="G79" s="109">
        <f>SUM(G80:G82)</f>
        <v>83738935.3</v>
      </c>
      <c r="H79" s="109">
        <f>SUM(H80:H82)</f>
        <v>83738935.3</v>
      </c>
    </row>
    <row r="80" spans="1:8" ht="84.75">
      <c r="A80" s="48" t="s">
        <v>194</v>
      </c>
      <c r="B80" s="107" t="s">
        <v>308</v>
      </c>
      <c r="C80" s="107" t="s">
        <v>336</v>
      </c>
      <c r="D80" s="98">
        <v>9910022001</v>
      </c>
      <c r="E80" s="98">
        <v>100</v>
      </c>
      <c r="F80" s="109">
        <f>53864056.3+16266945+40000+100000+350000+4136800-3450.84+1734635.6-2070.06-2890.38-2623739.25</f>
        <v>73860286.36999999</v>
      </c>
      <c r="G80" s="109">
        <v>74757801.3</v>
      </c>
      <c r="H80" s="109">
        <v>74757801.3</v>
      </c>
    </row>
    <row r="81" spans="1:8" ht="33.75">
      <c r="A81" s="48" t="s">
        <v>195</v>
      </c>
      <c r="B81" s="107" t="s">
        <v>308</v>
      </c>
      <c r="C81" s="107" t="s">
        <v>336</v>
      </c>
      <c r="D81" s="98">
        <v>9910022001</v>
      </c>
      <c r="E81" s="98">
        <v>200</v>
      </c>
      <c r="F81" s="109">
        <f>8981134-1200000-1626594+1818667-19077.82</f>
        <v>7954129.18</v>
      </c>
      <c r="G81" s="109">
        <v>8981134</v>
      </c>
      <c r="H81" s="109">
        <v>8981134</v>
      </c>
    </row>
    <row r="82" spans="1:8" ht="16.5">
      <c r="A82" s="48" t="s">
        <v>196</v>
      </c>
      <c r="B82" s="107" t="s">
        <v>308</v>
      </c>
      <c r="C82" s="107" t="s">
        <v>336</v>
      </c>
      <c r="D82" s="98">
        <v>9910022001</v>
      </c>
      <c r="E82" s="98">
        <v>300</v>
      </c>
      <c r="F82" s="109">
        <f>3450.84+2070.06+2890.38</f>
        <v>8411.279999999999</v>
      </c>
      <c r="G82" s="109">
        <v>0</v>
      </c>
      <c r="H82" s="109">
        <v>0</v>
      </c>
    </row>
    <row r="83" spans="1:8" ht="16.5">
      <c r="A83" s="48" t="s">
        <v>331</v>
      </c>
      <c r="B83" s="107" t="s">
        <v>308</v>
      </c>
      <c r="C83" s="107" t="s">
        <v>336</v>
      </c>
      <c r="D83" s="107" t="s">
        <v>332</v>
      </c>
      <c r="E83" s="107"/>
      <c r="F83" s="108">
        <f>F86+F93+F91+F95+F84+F97</f>
        <v>103528148.95</v>
      </c>
      <c r="G83" s="108">
        <f>G86+G93+G91+G95+G84+G97</f>
        <v>5585380</v>
      </c>
      <c r="H83" s="108">
        <f>H86+H93+H91+H95+H84+H97</f>
        <v>5585380</v>
      </c>
    </row>
    <row r="84" spans="1:8" ht="51">
      <c r="A84" s="48" t="s">
        <v>339</v>
      </c>
      <c r="B84" s="107" t="s">
        <v>308</v>
      </c>
      <c r="C84" s="107" t="s">
        <v>336</v>
      </c>
      <c r="D84" s="107" t="s">
        <v>340</v>
      </c>
      <c r="E84" s="107"/>
      <c r="F84" s="108">
        <f>F85</f>
        <v>72228.88</v>
      </c>
      <c r="G84" s="108">
        <f>G85</f>
        <v>0</v>
      </c>
      <c r="H84" s="108">
        <f>H85</f>
        <v>0</v>
      </c>
    </row>
    <row r="85" spans="1:8" ht="16.5">
      <c r="A85" s="46" t="s">
        <v>197</v>
      </c>
      <c r="B85" s="107" t="s">
        <v>308</v>
      </c>
      <c r="C85" s="107" t="s">
        <v>336</v>
      </c>
      <c r="D85" s="107" t="s">
        <v>340</v>
      </c>
      <c r="E85" s="107" t="s">
        <v>231</v>
      </c>
      <c r="F85" s="108">
        <f>22228.88+50000</f>
        <v>72228.88</v>
      </c>
      <c r="G85" s="108">
        <v>0</v>
      </c>
      <c r="H85" s="108">
        <v>0</v>
      </c>
    </row>
    <row r="86" spans="1:8" ht="33.75">
      <c r="A86" s="48" t="s">
        <v>341</v>
      </c>
      <c r="B86" s="107" t="s">
        <v>308</v>
      </c>
      <c r="C86" s="107" t="s">
        <v>336</v>
      </c>
      <c r="D86" s="107" t="s">
        <v>342</v>
      </c>
      <c r="E86" s="107"/>
      <c r="F86" s="108">
        <f>F87+F90+F89+F88</f>
        <v>83597695.95</v>
      </c>
      <c r="G86" s="108">
        <f>G87+G90+G89+G88</f>
        <v>5355500</v>
      </c>
      <c r="H86" s="108">
        <f>H87+H90+H89+H88</f>
        <v>5355500</v>
      </c>
    </row>
    <row r="87" spans="1:8" ht="33.75">
      <c r="A87" s="48" t="s">
        <v>195</v>
      </c>
      <c r="B87" s="107" t="s">
        <v>308</v>
      </c>
      <c r="C87" s="107" t="s">
        <v>336</v>
      </c>
      <c r="D87" s="107" t="s">
        <v>342</v>
      </c>
      <c r="E87" s="107" t="s">
        <v>252</v>
      </c>
      <c r="F87" s="109">
        <f>5355500+366465+800000-56700+281289.36+37718752.92+75000-505569.57+1373695.51</f>
        <v>45408433.22</v>
      </c>
      <c r="G87" s="109">
        <v>5355500</v>
      </c>
      <c r="H87" s="109">
        <v>5355500</v>
      </c>
    </row>
    <row r="88" spans="1:8" ht="16.5">
      <c r="A88" s="48" t="s">
        <v>196</v>
      </c>
      <c r="B88" s="107" t="s">
        <v>308</v>
      </c>
      <c r="C88" s="107" t="s">
        <v>336</v>
      </c>
      <c r="D88" s="107" t="s">
        <v>342</v>
      </c>
      <c r="E88" s="107" t="s">
        <v>257</v>
      </c>
      <c r="F88" s="109">
        <f>426460+660626.5-150000+1895010+203768-350000</f>
        <v>2685864.5</v>
      </c>
      <c r="G88" s="109"/>
      <c r="H88" s="109"/>
    </row>
    <row r="89" spans="1:8" ht="33.75">
      <c r="A89" s="46" t="s">
        <v>204</v>
      </c>
      <c r="B89" s="107" t="s">
        <v>308</v>
      </c>
      <c r="C89" s="107" t="s">
        <v>336</v>
      </c>
      <c r="D89" s="107" t="s">
        <v>342</v>
      </c>
      <c r="E89" s="107" t="s">
        <v>338</v>
      </c>
      <c r="F89" s="109">
        <f>5000000-5000000+584704.8+814166.4+89083.2+472484.4+68256+897212.4+590300+392536.8+267706.8+1057731.6+1316250+99207.6+582319.2+816974.4+519482.4+714078+1506103.2+908760+1254745.52+1466300+2882967.36</f>
        <v>17301370.08</v>
      </c>
      <c r="G89" s="109">
        <v>0</v>
      </c>
      <c r="H89" s="109">
        <v>0</v>
      </c>
    </row>
    <row r="90" spans="1:8" ht="16.5">
      <c r="A90" s="46" t="s">
        <v>197</v>
      </c>
      <c r="B90" s="107" t="s">
        <v>308</v>
      </c>
      <c r="C90" s="107" t="s">
        <v>336</v>
      </c>
      <c r="D90" s="107" t="s">
        <v>342</v>
      </c>
      <c r="E90" s="107" t="s">
        <v>231</v>
      </c>
      <c r="F90" s="109">
        <f>10000000+50000+4798676.55+1000000+1953351.6+50000+350000</f>
        <v>18202028.150000002</v>
      </c>
      <c r="G90" s="109">
        <v>0</v>
      </c>
      <c r="H90" s="109">
        <v>0</v>
      </c>
    </row>
    <row r="91" spans="1:8" ht="33.75">
      <c r="A91" s="48" t="s">
        <v>341</v>
      </c>
      <c r="B91" s="107" t="s">
        <v>308</v>
      </c>
      <c r="C91" s="107" t="s">
        <v>336</v>
      </c>
      <c r="D91" s="107" t="s">
        <v>342</v>
      </c>
      <c r="E91" s="107"/>
      <c r="F91" s="109">
        <f>F92</f>
        <v>14513957.059999999</v>
      </c>
      <c r="G91" s="109">
        <f>G92</f>
        <v>0</v>
      </c>
      <c r="H91" s="109">
        <f>H92</f>
        <v>0</v>
      </c>
    </row>
    <row r="92" spans="1:8" ht="33.75">
      <c r="A92" s="48" t="s">
        <v>195</v>
      </c>
      <c r="B92" s="107" t="s">
        <v>308</v>
      </c>
      <c r="C92" s="107" t="s">
        <v>336</v>
      </c>
      <c r="D92" s="107" t="s">
        <v>342</v>
      </c>
      <c r="E92" s="107" t="s">
        <v>252</v>
      </c>
      <c r="F92" s="109">
        <f>100888.66+448562.4+14988841.2+2002143.6-2947916.4-78562.4</f>
        <v>14513957.059999999</v>
      </c>
      <c r="G92" s="109">
        <v>0</v>
      </c>
      <c r="H92" s="109">
        <v>0</v>
      </c>
    </row>
    <row r="93" spans="1:8" ht="33.75">
      <c r="A93" s="48" t="s">
        <v>643</v>
      </c>
      <c r="B93" s="107" t="s">
        <v>308</v>
      </c>
      <c r="C93" s="107" t="s">
        <v>336</v>
      </c>
      <c r="D93" s="107" t="s">
        <v>642</v>
      </c>
      <c r="E93" s="107"/>
      <c r="F93" s="108">
        <f>F94</f>
        <v>229880</v>
      </c>
      <c r="G93" s="108">
        <f>G94</f>
        <v>229880</v>
      </c>
      <c r="H93" s="108">
        <f>H94</f>
        <v>229880</v>
      </c>
    </row>
    <row r="94" spans="1:8" ht="16.5">
      <c r="A94" s="48" t="s">
        <v>196</v>
      </c>
      <c r="B94" s="107" t="s">
        <v>308</v>
      </c>
      <c r="C94" s="107" t="s">
        <v>336</v>
      </c>
      <c r="D94" s="107" t="s">
        <v>642</v>
      </c>
      <c r="E94" s="107" t="s">
        <v>257</v>
      </c>
      <c r="F94" s="109">
        <v>229880</v>
      </c>
      <c r="G94" s="109">
        <v>229880</v>
      </c>
      <c r="H94" s="109">
        <v>229880</v>
      </c>
    </row>
    <row r="95" spans="1:8" ht="33.75">
      <c r="A95" s="48" t="s">
        <v>341</v>
      </c>
      <c r="B95" s="107" t="s">
        <v>308</v>
      </c>
      <c r="C95" s="107" t="s">
        <v>336</v>
      </c>
      <c r="D95" s="107" t="s">
        <v>342</v>
      </c>
      <c r="E95" s="107"/>
      <c r="F95" s="109">
        <f>F96</f>
        <v>5114387.059999996</v>
      </c>
      <c r="G95" s="109">
        <f>G96</f>
        <v>0</v>
      </c>
      <c r="H95" s="109">
        <f>H96</f>
        <v>0</v>
      </c>
    </row>
    <row r="96" spans="1:8" ht="16.5">
      <c r="A96" s="46" t="s">
        <v>197</v>
      </c>
      <c r="B96" s="107" t="s">
        <v>308</v>
      </c>
      <c r="C96" s="107" t="s">
        <v>336</v>
      </c>
      <c r="D96" s="107" t="s">
        <v>342</v>
      </c>
      <c r="E96" s="107" t="s">
        <v>231</v>
      </c>
      <c r="F96" s="109">
        <f>150000000-91062871.73-58078706.61+10050878.6-3233000-2561913.2</f>
        <v>5114387.059999996</v>
      </c>
      <c r="G96" s="109">
        <v>0</v>
      </c>
      <c r="H96" s="109">
        <v>0</v>
      </c>
    </row>
    <row r="97" spans="1:8" ht="33.75" hidden="1">
      <c r="A97" s="48" t="s">
        <v>341</v>
      </c>
      <c r="B97" s="107" t="s">
        <v>308</v>
      </c>
      <c r="C97" s="107" t="s">
        <v>336</v>
      </c>
      <c r="D97" s="107" t="s">
        <v>342</v>
      </c>
      <c r="E97" s="107"/>
      <c r="F97" s="109">
        <f>F98</f>
        <v>0</v>
      </c>
      <c r="G97" s="109">
        <f>G98</f>
        <v>0</v>
      </c>
      <c r="H97" s="109">
        <f>H98</f>
        <v>0</v>
      </c>
    </row>
    <row r="98" spans="1:8" ht="16.5" hidden="1">
      <c r="A98" s="46" t="s">
        <v>197</v>
      </c>
      <c r="B98" s="107" t="s">
        <v>308</v>
      </c>
      <c r="C98" s="107" t="s">
        <v>336</v>
      </c>
      <c r="D98" s="107" t="s">
        <v>342</v>
      </c>
      <c r="E98" s="107" t="s">
        <v>231</v>
      </c>
      <c r="F98" s="109">
        <f>39000000-39000000</f>
        <v>0</v>
      </c>
      <c r="G98" s="109">
        <v>0</v>
      </c>
      <c r="H98" s="109">
        <v>0</v>
      </c>
    </row>
    <row r="99" spans="1:32" s="103" customFormat="1" ht="16.5">
      <c r="A99" s="66" t="s">
        <v>777</v>
      </c>
      <c r="B99" s="105" t="s">
        <v>310</v>
      </c>
      <c r="C99" s="105"/>
      <c r="D99" s="105"/>
      <c r="E99" s="105"/>
      <c r="F99" s="111">
        <f>F100</f>
        <v>15370880.92</v>
      </c>
      <c r="G99" s="111">
        <f aca="true" t="shared" si="5" ref="G99:H103">G100</f>
        <v>0</v>
      </c>
      <c r="H99" s="111">
        <f t="shared" si="5"/>
        <v>0</v>
      </c>
      <c r="I99" s="363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1"/>
      <c r="V99" s="301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</row>
    <row r="100" spans="1:32" s="103" customFormat="1" ht="16.5">
      <c r="A100" s="66" t="s">
        <v>778</v>
      </c>
      <c r="B100" s="105" t="s">
        <v>310</v>
      </c>
      <c r="C100" s="105" t="s">
        <v>318</v>
      </c>
      <c r="D100" s="105"/>
      <c r="E100" s="105"/>
      <c r="F100" s="111">
        <f>F101</f>
        <v>15370880.92</v>
      </c>
      <c r="G100" s="111">
        <f t="shared" si="5"/>
        <v>0</v>
      </c>
      <c r="H100" s="111">
        <f t="shared" si="5"/>
        <v>0</v>
      </c>
      <c r="I100" s="363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1"/>
      <c r="V100" s="301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</row>
    <row r="101" spans="1:32" s="103" customFormat="1" ht="16.5">
      <c r="A101" s="66" t="s">
        <v>311</v>
      </c>
      <c r="B101" s="105" t="s">
        <v>310</v>
      </c>
      <c r="C101" s="105" t="s">
        <v>318</v>
      </c>
      <c r="D101" s="101">
        <v>9900000000</v>
      </c>
      <c r="E101" s="105"/>
      <c r="F101" s="111">
        <f>F102</f>
        <v>15370880.92</v>
      </c>
      <c r="G101" s="111">
        <f t="shared" si="5"/>
        <v>0</v>
      </c>
      <c r="H101" s="111">
        <f t="shared" si="5"/>
        <v>0</v>
      </c>
      <c r="I101" s="363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1"/>
      <c r="V101" s="301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</row>
    <row r="102" spans="1:8" ht="16.5">
      <c r="A102" s="48" t="s">
        <v>331</v>
      </c>
      <c r="B102" s="107" t="s">
        <v>310</v>
      </c>
      <c r="C102" s="107" t="s">
        <v>318</v>
      </c>
      <c r="D102" s="98">
        <v>9950000000</v>
      </c>
      <c r="E102" s="107"/>
      <c r="F102" s="109">
        <f>F103</f>
        <v>15370880.92</v>
      </c>
      <c r="G102" s="109">
        <f t="shared" si="5"/>
        <v>0</v>
      </c>
      <c r="H102" s="109">
        <f t="shared" si="5"/>
        <v>0</v>
      </c>
    </row>
    <row r="103" spans="1:8" ht="16.5">
      <c r="A103" s="46" t="s">
        <v>779</v>
      </c>
      <c r="B103" s="107" t="s">
        <v>310</v>
      </c>
      <c r="C103" s="107" t="s">
        <v>318</v>
      </c>
      <c r="D103" s="107" t="s">
        <v>780</v>
      </c>
      <c r="E103" s="107"/>
      <c r="F103" s="109">
        <f>F104</f>
        <v>15370880.92</v>
      </c>
      <c r="G103" s="109">
        <f t="shared" si="5"/>
        <v>0</v>
      </c>
      <c r="H103" s="109">
        <f t="shared" si="5"/>
        <v>0</v>
      </c>
    </row>
    <row r="104" spans="1:8" ht="33.75">
      <c r="A104" s="48" t="s">
        <v>195</v>
      </c>
      <c r="B104" s="107" t="s">
        <v>310</v>
      </c>
      <c r="C104" s="107" t="s">
        <v>318</v>
      </c>
      <c r="D104" s="107" t="s">
        <v>780</v>
      </c>
      <c r="E104" s="107" t="s">
        <v>252</v>
      </c>
      <c r="F104" s="109">
        <f>15000000+370880.92</f>
        <v>15370880.92</v>
      </c>
      <c r="G104" s="109">
        <v>0</v>
      </c>
      <c r="H104" s="109">
        <v>0</v>
      </c>
    </row>
    <row r="105" spans="1:32" s="103" customFormat="1" ht="33.75">
      <c r="A105" s="70" t="s">
        <v>343</v>
      </c>
      <c r="B105" s="105" t="s">
        <v>318</v>
      </c>
      <c r="C105" s="105"/>
      <c r="D105" s="101"/>
      <c r="E105" s="101"/>
      <c r="F105" s="111">
        <f aca="true" t="shared" si="6" ref="F105:H106">F106</f>
        <v>14716624.530000001</v>
      </c>
      <c r="G105" s="111">
        <f t="shared" si="6"/>
        <v>14655349</v>
      </c>
      <c r="H105" s="111">
        <f t="shared" si="6"/>
        <v>14655349</v>
      </c>
      <c r="I105" s="169"/>
      <c r="J105" s="299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1"/>
      <c r="V105" s="301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</row>
    <row r="106" spans="1:32" s="103" customFormat="1" ht="67.5">
      <c r="A106" s="70" t="s">
        <v>344</v>
      </c>
      <c r="B106" s="105" t="s">
        <v>318</v>
      </c>
      <c r="C106" s="105" t="s">
        <v>345</v>
      </c>
      <c r="D106" s="101"/>
      <c r="E106" s="101"/>
      <c r="F106" s="111">
        <f t="shared" si="6"/>
        <v>14716624.530000001</v>
      </c>
      <c r="G106" s="111">
        <f t="shared" si="6"/>
        <v>14655349</v>
      </c>
      <c r="H106" s="111">
        <f t="shared" si="6"/>
        <v>14655349</v>
      </c>
      <c r="I106" s="169"/>
      <c r="J106" s="299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1"/>
      <c r="V106" s="301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</row>
    <row r="107" spans="1:32" s="103" customFormat="1" ht="16.5">
      <c r="A107" s="66" t="s">
        <v>311</v>
      </c>
      <c r="B107" s="105" t="s">
        <v>318</v>
      </c>
      <c r="C107" s="105" t="s">
        <v>345</v>
      </c>
      <c r="D107" s="101">
        <v>9900000000</v>
      </c>
      <c r="E107" s="101"/>
      <c r="F107" s="111">
        <f>F108+F113</f>
        <v>14716624.530000001</v>
      </c>
      <c r="G107" s="111">
        <f>G108+G113</f>
        <v>14655349</v>
      </c>
      <c r="H107" s="111">
        <f>H108+H113</f>
        <v>14655349</v>
      </c>
      <c r="I107" s="169"/>
      <c r="J107" s="299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1"/>
      <c r="V107" s="301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</row>
    <row r="108" spans="1:8" ht="33.75">
      <c r="A108" s="48" t="s">
        <v>313</v>
      </c>
      <c r="B108" s="107" t="s">
        <v>318</v>
      </c>
      <c r="C108" s="107" t="s">
        <v>345</v>
      </c>
      <c r="D108" s="98">
        <v>9910000000</v>
      </c>
      <c r="E108" s="98"/>
      <c r="F108" s="109">
        <f>F109</f>
        <v>13716624.530000001</v>
      </c>
      <c r="G108" s="109">
        <f>G109</f>
        <v>13155349</v>
      </c>
      <c r="H108" s="109">
        <f>H109</f>
        <v>13155349</v>
      </c>
    </row>
    <row r="109" spans="1:8" ht="33.75">
      <c r="A109" s="46" t="s">
        <v>337</v>
      </c>
      <c r="B109" s="107" t="s">
        <v>318</v>
      </c>
      <c r="C109" s="107" t="s">
        <v>345</v>
      </c>
      <c r="D109" s="98">
        <v>9910022001</v>
      </c>
      <c r="E109" s="98"/>
      <c r="F109" s="109">
        <f>SUM(F110:F112)</f>
        <v>13716624.530000001</v>
      </c>
      <c r="G109" s="109">
        <f>SUM(G110:G112)</f>
        <v>13155349</v>
      </c>
      <c r="H109" s="109">
        <f>SUM(H110:H112)</f>
        <v>13155349</v>
      </c>
    </row>
    <row r="110" spans="1:8" ht="84.75">
      <c r="A110" s="48" t="s">
        <v>194</v>
      </c>
      <c r="B110" s="107" t="s">
        <v>318</v>
      </c>
      <c r="C110" s="107" t="s">
        <v>345</v>
      </c>
      <c r="D110" s="98">
        <v>9910022001</v>
      </c>
      <c r="E110" s="107" t="s">
        <v>229</v>
      </c>
      <c r="F110" s="109">
        <f>9415554+615441.32+612181.59-214818.19+187911.19</f>
        <v>10616269.91</v>
      </c>
      <c r="G110" s="109">
        <v>9415554</v>
      </c>
      <c r="H110" s="109">
        <v>9415554</v>
      </c>
    </row>
    <row r="111" spans="1:8" ht="33.75">
      <c r="A111" s="48" t="s">
        <v>195</v>
      </c>
      <c r="B111" s="107" t="s">
        <v>318</v>
      </c>
      <c r="C111" s="107" t="s">
        <v>345</v>
      </c>
      <c r="D111" s="98">
        <v>9910022001</v>
      </c>
      <c r="E111" s="107" t="s">
        <v>252</v>
      </c>
      <c r="F111" s="109">
        <f>3738715-49749-314000-274611.38</f>
        <v>3100354.62</v>
      </c>
      <c r="G111" s="109">
        <v>3738715</v>
      </c>
      <c r="H111" s="109">
        <v>3738715</v>
      </c>
    </row>
    <row r="112" spans="1:8" ht="16.5">
      <c r="A112" s="48" t="s">
        <v>197</v>
      </c>
      <c r="B112" s="107" t="s">
        <v>318</v>
      </c>
      <c r="C112" s="107" t="s">
        <v>345</v>
      </c>
      <c r="D112" s="98">
        <v>9910022001</v>
      </c>
      <c r="E112" s="98">
        <v>800</v>
      </c>
      <c r="F112" s="109">
        <f>1080-1080</f>
        <v>0</v>
      </c>
      <c r="G112" s="109">
        <v>1080</v>
      </c>
      <c r="H112" s="109">
        <v>1080</v>
      </c>
    </row>
    <row r="113" spans="1:8" ht="16.5">
      <c r="A113" s="48" t="s">
        <v>331</v>
      </c>
      <c r="B113" s="107" t="s">
        <v>318</v>
      </c>
      <c r="C113" s="107" t="s">
        <v>345</v>
      </c>
      <c r="D113" s="98">
        <v>9950000000</v>
      </c>
      <c r="E113" s="98"/>
      <c r="F113" s="109">
        <f aca="true" t="shared" si="7" ref="F113:H114">F114</f>
        <v>1000000</v>
      </c>
      <c r="G113" s="109">
        <f t="shared" si="7"/>
        <v>1500000</v>
      </c>
      <c r="H113" s="109">
        <f t="shared" si="7"/>
        <v>1500000</v>
      </c>
    </row>
    <row r="114" spans="1:8" ht="51">
      <c r="A114" s="48" t="s">
        <v>346</v>
      </c>
      <c r="B114" s="107" t="s">
        <v>318</v>
      </c>
      <c r="C114" s="107" t="s">
        <v>345</v>
      </c>
      <c r="D114" s="112" t="s">
        <v>347</v>
      </c>
      <c r="E114" s="98"/>
      <c r="F114" s="109">
        <f t="shared" si="7"/>
        <v>1000000</v>
      </c>
      <c r="G114" s="109">
        <f t="shared" si="7"/>
        <v>1500000</v>
      </c>
      <c r="H114" s="109">
        <f t="shared" si="7"/>
        <v>1500000</v>
      </c>
    </row>
    <row r="115" spans="1:8" ht="33.75">
      <c r="A115" s="48" t="s">
        <v>195</v>
      </c>
      <c r="B115" s="107" t="s">
        <v>318</v>
      </c>
      <c r="C115" s="107" t="s">
        <v>345</v>
      </c>
      <c r="D115" s="112" t="s">
        <v>347</v>
      </c>
      <c r="E115" s="98">
        <v>200</v>
      </c>
      <c r="F115" s="109">
        <v>1000000</v>
      </c>
      <c r="G115" s="109">
        <v>1500000</v>
      </c>
      <c r="H115" s="109">
        <v>1500000</v>
      </c>
    </row>
    <row r="116" spans="1:8" ht="16.5">
      <c r="A116" s="70" t="s">
        <v>348</v>
      </c>
      <c r="B116" s="105" t="s">
        <v>322</v>
      </c>
      <c r="C116" s="105"/>
      <c r="D116" s="113"/>
      <c r="E116" s="101"/>
      <c r="F116" s="111">
        <f>F117+F122+F131+F136</f>
        <v>45210047.34</v>
      </c>
      <c r="G116" s="111">
        <f>G117+G122+G131</f>
        <v>5815942.65</v>
      </c>
      <c r="H116" s="111">
        <f>H117+H122+H131</f>
        <v>5815942.65</v>
      </c>
    </row>
    <row r="117" spans="1:8" ht="16.5">
      <c r="A117" s="70" t="s">
        <v>349</v>
      </c>
      <c r="B117" s="105" t="s">
        <v>322</v>
      </c>
      <c r="C117" s="105" t="s">
        <v>308</v>
      </c>
      <c r="D117" s="113"/>
      <c r="E117" s="101"/>
      <c r="F117" s="111">
        <f aca="true" t="shared" si="8" ref="F117:H120">F118</f>
        <v>307161.12999999995</v>
      </c>
      <c r="G117" s="111">
        <f t="shared" si="8"/>
        <v>847554.33</v>
      </c>
      <c r="H117" s="111">
        <f t="shared" si="8"/>
        <v>847554.33</v>
      </c>
    </row>
    <row r="118" spans="1:8" ht="16.5">
      <c r="A118" s="70" t="s">
        <v>311</v>
      </c>
      <c r="B118" s="105" t="s">
        <v>322</v>
      </c>
      <c r="C118" s="105" t="s">
        <v>308</v>
      </c>
      <c r="D118" s="113">
        <v>9900000000</v>
      </c>
      <c r="E118" s="101"/>
      <c r="F118" s="111">
        <f t="shared" si="8"/>
        <v>307161.12999999995</v>
      </c>
      <c r="G118" s="111">
        <f t="shared" si="8"/>
        <v>847554.33</v>
      </c>
      <c r="H118" s="111">
        <f t="shared" si="8"/>
        <v>847554.33</v>
      </c>
    </row>
    <row r="119" spans="1:8" ht="33.75">
      <c r="A119" s="48" t="s">
        <v>313</v>
      </c>
      <c r="B119" s="107" t="s">
        <v>322</v>
      </c>
      <c r="C119" s="107" t="s">
        <v>308</v>
      </c>
      <c r="D119" s="112" t="s">
        <v>314</v>
      </c>
      <c r="E119" s="98"/>
      <c r="F119" s="109">
        <f t="shared" si="8"/>
        <v>307161.12999999995</v>
      </c>
      <c r="G119" s="109">
        <f t="shared" si="8"/>
        <v>847554.33</v>
      </c>
      <c r="H119" s="109">
        <f t="shared" si="8"/>
        <v>847554.33</v>
      </c>
    </row>
    <row r="120" spans="1:8" ht="33.75">
      <c r="A120" s="48" t="s">
        <v>323</v>
      </c>
      <c r="B120" s="107" t="s">
        <v>322</v>
      </c>
      <c r="C120" s="107" t="s">
        <v>308</v>
      </c>
      <c r="D120" s="112" t="s">
        <v>324</v>
      </c>
      <c r="E120" s="98"/>
      <c r="F120" s="109">
        <f t="shared" si="8"/>
        <v>307161.12999999995</v>
      </c>
      <c r="G120" s="109">
        <f t="shared" si="8"/>
        <v>847554.33</v>
      </c>
      <c r="H120" s="109">
        <f t="shared" si="8"/>
        <v>847554.33</v>
      </c>
    </row>
    <row r="121" spans="1:8" ht="84.75">
      <c r="A121" s="48" t="s">
        <v>194</v>
      </c>
      <c r="B121" s="107" t="s">
        <v>322</v>
      </c>
      <c r="C121" s="107" t="s">
        <v>308</v>
      </c>
      <c r="D121" s="112" t="s">
        <v>324</v>
      </c>
      <c r="E121" s="98">
        <v>100</v>
      </c>
      <c r="F121" s="109">
        <f>847554.33-545280.15+3510.37+1376.58</f>
        <v>307161.12999999995</v>
      </c>
      <c r="G121" s="109">
        <v>847554.33</v>
      </c>
      <c r="H121" s="109">
        <v>847554.33</v>
      </c>
    </row>
    <row r="122" spans="1:8" ht="16.5">
      <c r="A122" s="70" t="s">
        <v>350</v>
      </c>
      <c r="B122" s="105" t="s">
        <v>322</v>
      </c>
      <c r="C122" s="105" t="s">
        <v>351</v>
      </c>
      <c r="D122" s="113"/>
      <c r="E122" s="101"/>
      <c r="F122" s="111">
        <f>F123</f>
        <v>23822886.21</v>
      </c>
      <c r="G122" s="111">
        <f aca="true" t="shared" si="9" ref="F122:H125">G123</f>
        <v>4968388.32</v>
      </c>
      <c r="H122" s="111">
        <f t="shared" si="9"/>
        <v>4968388.32</v>
      </c>
    </row>
    <row r="123" spans="1:8" ht="16.5">
      <c r="A123" s="70" t="s">
        <v>311</v>
      </c>
      <c r="B123" s="105" t="s">
        <v>322</v>
      </c>
      <c r="C123" s="105" t="s">
        <v>351</v>
      </c>
      <c r="D123" s="113">
        <v>9900000000</v>
      </c>
      <c r="E123" s="101"/>
      <c r="F123" s="111">
        <f>F124+F127</f>
        <v>23822886.21</v>
      </c>
      <c r="G123" s="111">
        <f>G124+G127</f>
        <v>4968388.32</v>
      </c>
      <c r="H123" s="111">
        <f>H124+H127</f>
        <v>4968388.32</v>
      </c>
    </row>
    <row r="124" spans="1:8" ht="33.75">
      <c r="A124" s="48" t="s">
        <v>313</v>
      </c>
      <c r="B124" s="107" t="s">
        <v>322</v>
      </c>
      <c r="C124" s="107" t="s">
        <v>351</v>
      </c>
      <c r="D124" s="112" t="s">
        <v>314</v>
      </c>
      <c r="E124" s="98"/>
      <c r="F124" s="109">
        <f t="shared" si="9"/>
        <v>5343610.99</v>
      </c>
      <c r="G124" s="109">
        <f t="shared" si="9"/>
        <v>4968388.32</v>
      </c>
      <c r="H124" s="109">
        <f t="shared" si="9"/>
        <v>4968388.32</v>
      </c>
    </row>
    <row r="125" spans="1:8" ht="33.75">
      <c r="A125" s="48" t="s">
        <v>337</v>
      </c>
      <c r="B125" s="107" t="s">
        <v>322</v>
      </c>
      <c r="C125" s="107" t="s">
        <v>351</v>
      </c>
      <c r="D125" s="112" t="s">
        <v>352</v>
      </c>
      <c r="E125" s="98"/>
      <c r="F125" s="109">
        <f t="shared" si="9"/>
        <v>5343610.99</v>
      </c>
      <c r="G125" s="109">
        <f t="shared" si="9"/>
        <v>4968388.32</v>
      </c>
      <c r="H125" s="109">
        <f t="shared" si="9"/>
        <v>4968388.32</v>
      </c>
    </row>
    <row r="126" spans="1:8" ht="84.75">
      <c r="A126" s="48" t="s">
        <v>194</v>
      </c>
      <c r="B126" s="107" t="s">
        <v>322</v>
      </c>
      <c r="C126" s="107" t="s">
        <v>351</v>
      </c>
      <c r="D126" s="112" t="s">
        <v>352</v>
      </c>
      <c r="E126" s="98">
        <v>100</v>
      </c>
      <c r="F126" s="109">
        <f>4968388.32+375222.67</f>
        <v>5343610.99</v>
      </c>
      <c r="G126" s="109">
        <v>4968388.32</v>
      </c>
      <c r="H126" s="109">
        <v>4968388.32</v>
      </c>
    </row>
    <row r="127" spans="1:8" ht="16.5">
      <c r="A127" s="48" t="s">
        <v>331</v>
      </c>
      <c r="B127" s="107" t="s">
        <v>322</v>
      </c>
      <c r="C127" s="107" t="s">
        <v>351</v>
      </c>
      <c r="D127" s="112" t="s">
        <v>332</v>
      </c>
      <c r="E127" s="98"/>
      <c r="F127" s="109">
        <f>F128</f>
        <v>18479275.22</v>
      </c>
      <c r="G127" s="109">
        <f>G128</f>
        <v>0</v>
      </c>
      <c r="H127" s="109">
        <f>H128</f>
        <v>0</v>
      </c>
    </row>
    <row r="128" spans="1:8" ht="33.75">
      <c r="A128" s="48" t="s">
        <v>341</v>
      </c>
      <c r="B128" s="107" t="s">
        <v>322</v>
      </c>
      <c r="C128" s="107" t="s">
        <v>351</v>
      </c>
      <c r="D128" s="112" t="s">
        <v>342</v>
      </c>
      <c r="E128" s="98"/>
      <c r="F128" s="109">
        <f>F130+F129</f>
        <v>18479275.22</v>
      </c>
      <c r="G128" s="109">
        <f>G130</f>
        <v>0</v>
      </c>
      <c r="H128" s="109">
        <f>H130</f>
        <v>0</v>
      </c>
    </row>
    <row r="129" spans="1:8" ht="16.5">
      <c r="A129" s="48" t="s">
        <v>196</v>
      </c>
      <c r="B129" s="107" t="s">
        <v>322</v>
      </c>
      <c r="C129" s="107" t="s">
        <v>351</v>
      </c>
      <c r="D129" s="112" t="s">
        <v>342</v>
      </c>
      <c r="E129" s="98">
        <v>300</v>
      </c>
      <c r="F129" s="109">
        <v>460000</v>
      </c>
      <c r="G129" s="109">
        <v>0</v>
      </c>
      <c r="H129" s="109">
        <v>0</v>
      </c>
    </row>
    <row r="130" spans="1:8" ht="16.5">
      <c r="A130" s="46" t="s">
        <v>197</v>
      </c>
      <c r="B130" s="107" t="s">
        <v>322</v>
      </c>
      <c r="C130" s="107" t="s">
        <v>351</v>
      </c>
      <c r="D130" s="112" t="s">
        <v>342</v>
      </c>
      <c r="E130" s="98">
        <v>800</v>
      </c>
      <c r="F130" s="109">
        <f>4800731.99+8450000+4768543.23</f>
        <v>18019275.22</v>
      </c>
      <c r="G130" s="109">
        <v>0</v>
      </c>
      <c r="H130" s="109">
        <v>0</v>
      </c>
    </row>
    <row r="131" spans="1:8" ht="16.5">
      <c r="A131" s="70" t="s">
        <v>353</v>
      </c>
      <c r="B131" s="105" t="s">
        <v>322</v>
      </c>
      <c r="C131" s="105" t="s">
        <v>345</v>
      </c>
      <c r="D131" s="113"/>
      <c r="E131" s="101"/>
      <c r="F131" s="111">
        <f>F132</f>
        <v>14000000</v>
      </c>
      <c r="G131" s="111">
        <f aca="true" t="shared" si="10" ref="G131:H134">G132</f>
        <v>0</v>
      </c>
      <c r="H131" s="111">
        <f t="shared" si="10"/>
        <v>0</v>
      </c>
    </row>
    <row r="132" spans="1:8" ht="16.5">
      <c r="A132" s="70" t="s">
        <v>311</v>
      </c>
      <c r="B132" s="105" t="s">
        <v>322</v>
      </c>
      <c r="C132" s="105" t="s">
        <v>345</v>
      </c>
      <c r="D132" s="113" t="s">
        <v>312</v>
      </c>
      <c r="E132" s="101"/>
      <c r="F132" s="111">
        <f>F133</f>
        <v>14000000</v>
      </c>
      <c r="G132" s="111">
        <f t="shared" si="10"/>
        <v>0</v>
      </c>
      <c r="H132" s="111">
        <f t="shared" si="10"/>
        <v>0</v>
      </c>
    </row>
    <row r="133" spans="1:8" ht="16.5">
      <c r="A133" s="48" t="s">
        <v>331</v>
      </c>
      <c r="B133" s="107" t="s">
        <v>322</v>
      </c>
      <c r="C133" s="107" t="s">
        <v>345</v>
      </c>
      <c r="D133" s="112" t="s">
        <v>332</v>
      </c>
      <c r="E133" s="98"/>
      <c r="F133" s="109">
        <f>F134</f>
        <v>14000000</v>
      </c>
      <c r="G133" s="109">
        <f t="shared" si="10"/>
        <v>0</v>
      </c>
      <c r="H133" s="109">
        <f t="shared" si="10"/>
        <v>0</v>
      </c>
    </row>
    <row r="134" spans="1:8" ht="33.75">
      <c r="A134" s="48" t="s">
        <v>341</v>
      </c>
      <c r="B134" s="107" t="s">
        <v>322</v>
      </c>
      <c r="C134" s="107" t="s">
        <v>345</v>
      </c>
      <c r="D134" s="112" t="s">
        <v>342</v>
      </c>
      <c r="E134" s="98"/>
      <c r="F134" s="109">
        <f>F135</f>
        <v>14000000</v>
      </c>
      <c r="G134" s="109">
        <f t="shared" si="10"/>
        <v>0</v>
      </c>
      <c r="H134" s="109">
        <f t="shared" si="10"/>
        <v>0</v>
      </c>
    </row>
    <row r="135" spans="1:8" ht="33.75">
      <c r="A135" s="48" t="s">
        <v>195</v>
      </c>
      <c r="B135" s="107" t="s">
        <v>322</v>
      </c>
      <c r="C135" s="107" t="s">
        <v>345</v>
      </c>
      <c r="D135" s="112" t="s">
        <v>342</v>
      </c>
      <c r="E135" s="98">
        <v>200</v>
      </c>
      <c r="F135" s="109">
        <v>14000000</v>
      </c>
      <c r="G135" s="109">
        <v>0</v>
      </c>
      <c r="H135" s="109">
        <v>0</v>
      </c>
    </row>
    <row r="136" spans="1:8" ht="16.5">
      <c r="A136" s="70" t="s">
        <v>404</v>
      </c>
      <c r="B136" s="105" t="s">
        <v>322</v>
      </c>
      <c r="C136" s="105" t="s">
        <v>405</v>
      </c>
      <c r="D136" s="113"/>
      <c r="E136" s="101"/>
      <c r="F136" s="111">
        <f>F137</f>
        <v>7080000</v>
      </c>
      <c r="G136" s="111">
        <f aca="true" t="shared" si="11" ref="G136:H139">G137</f>
        <v>0</v>
      </c>
      <c r="H136" s="111">
        <f t="shared" si="11"/>
        <v>0</v>
      </c>
    </row>
    <row r="137" spans="1:8" ht="16.5">
      <c r="A137" s="70" t="s">
        <v>311</v>
      </c>
      <c r="B137" s="105" t="s">
        <v>322</v>
      </c>
      <c r="C137" s="105" t="s">
        <v>405</v>
      </c>
      <c r="D137" s="113" t="s">
        <v>312</v>
      </c>
      <c r="E137" s="101"/>
      <c r="F137" s="111">
        <f>F138</f>
        <v>7080000</v>
      </c>
      <c r="G137" s="111">
        <f t="shared" si="11"/>
        <v>0</v>
      </c>
      <c r="H137" s="111">
        <f t="shared" si="11"/>
        <v>0</v>
      </c>
    </row>
    <row r="138" spans="1:8" ht="16.5">
      <c r="A138" s="48" t="s">
        <v>331</v>
      </c>
      <c r="B138" s="107" t="s">
        <v>322</v>
      </c>
      <c r="C138" s="107" t="s">
        <v>405</v>
      </c>
      <c r="D138" s="112" t="s">
        <v>332</v>
      </c>
      <c r="E138" s="98"/>
      <c r="F138" s="109">
        <f>F139</f>
        <v>7080000</v>
      </c>
      <c r="G138" s="109">
        <f t="shared" si="11"/>
        <v>0</v>
      </c>
      <c r="H138" s="109">
        <f t="shared" si="11"/>
        <v>0</v>
      </c>
    </row>
    <row r="139" spans="1:8" ht="33.75">
      <c r="A139" s="48" t="s">
        <v>341</v>
      </c>
      <c r="B139" s="107" t="s">
        <v>322</v>
      </c>
      <c r="C139" s="107" t="s">
        <v>405</v>
      </c>
      <c r="D139" s="112" t="s">
        <v>342</v>
      </c>
      <c r="E139" s="98"/>
      <c r="F139" s="109">
        <f>F140</f>
        <v>7080000</v>
      </c>
      <c r="G139" s="109">
        <f t="shared" si="11"/>
        <v>0</v>
      </c>
      <c r="H139" s="109">
        <f t="shared" si="11"/>
        <v>0</v>
      </c>
    </row>
    <row r="140" spans="1:8" ht="16.5">
      <c r="A140" s="46" t="s">
        <v>197</v>
      </c>
      <c r="B140" s="107" t="s">
        <v>322</v>
      </c>
      <c r="C140" s="107" t="s">
        <v>405</v>
      </c>
      <c r="D140" s="112" t="s">
        <v>342</v>
      </c>
      <c r="E140" s="98">
        <v>800</v>
      </c>
      <c r="F140" s="109">
        <f>2000000+5080000</f>
        <v>7080000</v>
      </c>
      <c r="G140" s="109">
        <v>0</v>
      </c>
      <c r="H140" s="109">
        <v>0</v>
      </c>
    </row>
    <row r="141" spans="1:32" s="103" customFormat="1" ht="16.5">
      <c r="A141" s="70" t="s">
        <v>354</v>
      </c>
      <c r="B141" s="105" t="s">
        <v>351</v>
      </c>
      <c r="C141" s="105"/>
      <c r="D141" s="113"/>
      <c r="E141" s="101"/>
      <c r="F141" s="111">
        <f>F148+F142</f>
        <v>9810436.8</v>
      </c>
      <c r="G141" s="111">
        <f>G148+G142</f>
        <v>0</v>
      </c>
      <c r="H141" s="111">
        <f>H148+H142</f>
        <v>0</v>
      </c>
      <c r="I141" s="169"/>
      <c r="J141" s="299"/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1"/>
      <c r="V141" s="301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</row>
    <row r="142" spans="1:32" s="103" customFormat="1" ht="16.5" hidden="1">
      <c r="A142" s="70" t="s">
        <v>355</v>
      </c>
      <c r="B142" s="105" t="s">
        <v>351</v>
      </c>
      <c r="C142" s="105" t="s">
        <v>308</v>
      </c>
      <c r="D142" s="113"/>
      <c r="E142" s="101"/>
      <c r="F142" s="111">
        <f>F143</f>
        <v>0</v>
      </c>
      <c r="G142" s="111">
        <f aca="true" t="shared" si="12" ref="G142:H144">G143</f>
        <v>0</v>
      </c>
      <c r="H142" s="111">
        <f t="shared" si="12"/>
        <v>0</v>
      </c>
      <c r="I142" s="169"/>
      <c r="J142" s="299"/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1"/>
      <c r="V142" s="301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</row>
    <row r="143" spans="1:32" s="103" customFormat="1" ht="16.5" hidden="1">
      <c r="A143" s="70" t="s">
        <v>311</v>
      </c>
      <c r="B143" s="105" t="s">
        <v>351</v>
      </c>
      <c r="C143" s="105" t="s">
        <v>308</v>
      </c>
      <c r="D143" s="113" t="s">
        <v>312</v>
      </c>
      <c r="E143" s="101"/>
      <c r="F143" s="111">
        <f>F144</f>
        <v>0</v>
      </c>
      <c r="G143" s="111">
        <f t="shared" si="12"/>
        <v>0</v>
      </c>
      <c r="H143" s="111">
        <f t="shared" si="12"/>
        <v>0</v>
      </c>
      <c r="I143" s="169"/>
      <c r="J143" s="299"/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1"/>
      <c r="V143" s="301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</row>
    <row r="144" spans="1:32" s="103" customFormat="1" ht="16.5" hidden="1">
      <c r="A144" s="48" t="s">
        <v>331</v>
      </c>
      <c r="B144" s="107" t="s">
        <v>351</v>
      </c>
      <c r="C144" s="107" t="s">
        <v>308</v>
      </c>
      <c r="D144" s="112" t="s">
        <v>332</v>
      </c>
      <c r="E144" s="98"/>
      <c r="F144" s="109">
        <f>F145</f>
        <v>0</v>
      </c>
      <c r="G144" s="109">
        <f t="shared" si="12"/>
        <v>0</v>
      </c>
      <c r="H144" s="109">
        <f t="shared" si="12"/>
        <v>0</v>
      </c>
      <c r="I144" s="169"/>
      <c r="J144" s="299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1"/>
      <c r="V144" s="301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</row>
    <row r="145" spans="1:32" s="103" customFormat="1" ht="16.5" hidden="1">
      <c r="A145" s="48" t="s">
        <v>356</v>
      </c>
      <c r="B145" s="107" t="s">
        <v>351</v>
      </c>
      <c r="C145" s="107" t="s">
        <v>308</v>
      </c>
      <c r="D145" s="112" t="s">
        <v>357</v>
      </c>
      <c r="E145" s="98"/>
      <c r="F145" s="109">
        <f>F146+F147</f>
        <v>0</v>
      </c>
      <c r="G145" s="109">
        <f>G146+G147</f>
        <v>0</v>
      </c>
      <c r="H145" s="109">
        <f>H146+H147</f>
        <v>0</v>
      </c>
      <c r="I145" s="169"/>
      <c r="J145" s="299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1"/>
      <c r="V145" s="301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</row>
    <row r="146" spans="1:32" s="103" customFormat="1" ht="33.75" hidden="1">
      <c r="A146" s="48" t="s">
        <v>195</v>
      </c>
      <c r="B146" s="107" t="s">
        <v>351</v>
      </c>
      <c r="C146" s="107" t="s">
        <v>308</v>
      </c>
      <c r="D146" s="112" t="s">
        <v>357</v>
      </c>
      <c r="E146" s="98">
        <v>200</v>
      </c>
      <c r="F146" s="109">
        <f>18218243-1821800-16396443</f>
        <v>0</v>
      </c>
      <c r="G146" s="109">
        <v>0</v>
      </c>
      <c r="H146" s="109">
        <v>0</v>
      </c>
      <c r="I146" s="169"/>
      <c r="J146" s="299"/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1"/>
      <c r="V146" s="301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:32" s="103" customFormat="1" ht="33.75" hidden="1">
      <c r="A147" s="46" t="s">
        <v>204</v>
      </c>
      <c r="B147" s="107" t="s">
        <v>351</v>
      </c>
      <c r="C147" s="107" t="s">
        <v>308</v>
      </c>
      <c r="D147" s="112" t="s">
        <v>357</v>
      </c>
      <c r="E147" s="98">
        <v>600</v>
      </c>
      <c r="F147" s="109">
        <v>0</v>
      </c>
      <c r="G147" s="109">
        <v>0</v>
      </c>
      <c r="H147" s="109">
        <v>0</v>
      </c>
      <c r="I147" s="169"/>
      <c r="J147" s="299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1"/>
      <c r="V147" s="301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</row>
    <row r="148" spans="1:32" s="103" customFormat="1" ht="16.5">
      <c r="A148" s="70" t="s">
        <v>358</v>
      </c>
      <c r="B148" s="105" t="s">
        <v>351</v>
      </c>
      <c r="C148" s="105" t="s">
        <v>318</v>
      </c>
      <c r="D148" s="113"/>
      <c r="E148" s="101"/>
      <c r="F148" s="111">
        <f>F149</f>
        <v>9810436.8</v>
      </c>
      <c r="G148" s="111">
        <f aca="true" t="shared" si="13" ref="G148:H151">G149</f>
        <v>0</v>
      </c>
      <c r="H148" s="111">
        <f t="shared" si="13"/>
        <v>0</v>
      </c>
      <c r="I148" s="169"/>
      <c r="J148" s="299"/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1"/>
      <c r="V148" s="301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</row>
    <row r="149" spans="1:32" s="103" customFormat="1" ht="16.5">
      <c r="A149" s="70" t="s">
        <v>311</v>
      </c>
      <c r="B149" s="105" t="s">
        <v>351</v>
      </c>
      <c r="C149" s="105" t="s">
        <v>318</v>
      </c>
      <c r="D149" s="113" t="s">
        <v>312</v>
      </c>
      <c r="E149" s="101"/>
      <c r="F149" s="111">
        <f>F150</f>
        <v>9810436.8</v>
      </c>
      <c r="G149" s="111">
        <f t="shared" si="13"/>
        <v>0</v>
      </c>
      <c r="H149" s="111">
        <f t="shared" si="13"/>
        <v>0</v>
      </c>
      <c r="I149" s="169"/>
      <c r="J149" s="299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1"/>
      <c r="V149" s="301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</row>
    <row r="150" spans="1:8" ht="16.5">
      <c r="A150" s="48" t="s">
        <v>331</v>
      </c>
      <c r="B150" s="107" t="s">
        <v>351</v>
      </c>
      <c r="C150" s="107" t="s">
        <v>318</v>
      </c>
      <c r="D150" s="112" t="s">
        <v>332</v>
      </c>
      <c r="E150" s="98"/>
      <c r="F150" s="109">
        <f>F151</f>
        <v>9810436.8</v>
      </c>
      <c r="G150" s="109">
        <f t="shared" si="13"/>
        <v>0</v>
      </c>
      <c r="H150" s="109">
        <f t="shared" si="13"/>
        <v>0</v>
      </c>
    </row>
    <row r="151" spans="1:8" ht="16.5">
      <c r="A151" s="48" t="s">
        <v>359</v>
      </c>
      <c r="B151" s="107" t="s">
        <v>351</v>
      </c>
      <c r="C151" s="107" t="s">
        <v>318</v>
      </c>
      <c r="D151" s="112" t="s">
        <v>360</v>
      </c>
      <c r="E151" s="98"/>
      <c r="F151" s="109">
        <f>F152</f>
        <v>9810436.8</v>
      </c>
      <c r="G151" s="109">
        <f t="shared" si="13"/>
        <v>0</v>
      </c>
      <c r="H151" s="109">
        <f t="shared" si="13"/>
        <v>0</v>
      </c>
    </row>
    <row r="152" spans="1:8" ht="33.75">
      <c r="A152" s="48" t="s">
        <v>220</v>
      </c>
      <c r="B152" s="107" t="s">
        <v>351</v>
      </c>
      <c r="C152" s="107" t="s">
        <v>318</v>
      </c>
      <c r="D152" s="112" t="s">
        <v>360</v>
      </c>
      <c r="E152" s="98">
        <v>400</v>
      </c>
      <c r="F152" s="109">
        <v>9810436.8</v>
      </c>
      <c r="G152" s="109">
        <v>0</v>
      </c>
      <c r="H152" s="109">
        <v>0</v>
      </c>
    </row>
    <row r="153" spans="1:32" s="103" customFormat="1" ht="16.5">
      <c r="A153" s="66" t="s">
        <v>361</v>
      </c>
      <c r="B153" s="105" t="s">
        <v>362</v>
      </c>
      <c r="C153" s="105"/>
      <c r="D153" s="113"/>
      <c r="E153" s="101"/>
      <c r="F153" s="111">
        <f>F160+F154+F167+F172</f>
        <v>72933570.86999999</v>
      </c>
      <c r="G153" s="111">
        <f>G160+G154+G172</f>
        <v>0</v>
      </c>
      <c r="H153" s="111">
        <f>H160+H154+H172</f>
        <v>0</v>
      </c>
      <c r="I153" s="169"/>
      <c r="J153" s="299"/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1"/>
      <c r="V153" s="301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</row>
    <row r="154" spans="1:32" s="103" customFormat="1" ht="16.5">
      <c r="A154" s="66" t="s">
        <v>363</v>
      </c>
      <c r="B154" s="105" t="s">
        <v>362</v>
      </c>
      <c r="C154" s="105" t="s">
        <v>308</v>
      </c>
      <c r="D154" s="113"/>
      <c r="E154" s="101"/>
      <c r="F154" s="111">
        <f>F155</f>
        <v>11955164</v>
      </c>
      <c r="G154" s="111">
        <f aca="true" t="shared" si="14" ref="G154:H156">G155</f>
        <v>0</v>
      </c>
      <c r="H154" s="111">
        <f t="shared" si="14"/>
        <v>0</v>
      </c>
      <c r="I154" s="169"/>
      <c r="J154" s="299"/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1"/>
      <c r="V154" s="301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</row>
    <row r="155" spans="1:32" s="103" customFormat="1" ht="16.5">
      <c r="A155" s="70" t="s">
        <v>311</v>
      </c>
      <c r="B155" s="105" t="s">
        <v>362</v>
      </c>
      <c r="C155" s="105" t="s">
        <v>308</v>
      </c>
      <c r="D155" s="113" t="s">
        <v>312</v>
      </c>
      <c r="E155" s="101"/>
      <c r="F155" s="111">
        <f>F156</f>
        <v>11955164</v>
      </c>
      <c r="G155" s="111">
        <f t="shared" si="14"/>
        <v>0</v>
      </c>
      <c r="H155" s="111">
        <f t="shared" si="14"/>
        <v>0</v>
      </c>
      <c r="I155" s="169"/>
      <c r="J155" s="299"/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1"/>
      <c r="V155" s="301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</row>
    <row r="156" spans="1:32" s="103" customFormat="1" ht="16.5">
      <c r="A156" s="48" t="s">
        <v>331</v>
      </c>
      <c r="B156" s="107" t="s">
        <v>362</v>
      </c>
      <c r="C156" s="107" t="s">
        <v>308</v>
      </c>
      <c r="D156" s="112" t="s">
        <v>332</v>
      </c>
      <c r="E156" s="98"/>
      <c r="F156" s="109">
        <f>F157</f>
        <v>11955164</v>
      </c>
      <c r="G156" s="109">
        <f t="shared" si="14"/>
        <v>0</v>
      </c>
      <c r="H156" s="109">
        <f t="shared" si="14"/>
        <v>0</v>
      </c>
      <c r="I156" s="169"/>
      <c r="J156" s="299"/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1"/>
      <c r="V156" s="301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</row>
    <row r="157" spans="1:32" s="103" customFormat="1" ht="33.75">
      <c r="A157" s="48" t="s">
        <v>341</v>
      </c>
      <c r="B157" s="107" t="s">
        <v>362</v>
      </c>
      <c r="C157" s="107" t="s">
        <v>308</v>
      </c>
      <c r="D157" s="112" t="s">
        <v>342</v>
      </c>
      <c r="E157" s="98"/>
      <c r="F157" s="109">
        <f>F159+F158</f>
        <v>11955164</v>
      </c>
      <c r="G157" s="109">
        <f>G159+G158</f>
        <v>0</v>
      </c>
      <c r="H157" s="109">
        <f>H159+H158</f>
        <v>0</v>
      </c>
      <c r="I157" s="169"/>
      <c r="J157" s="299"/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1"/>
      <c r="V157" s="301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</row>
    <row r="158" spans="1:32" s="103" customFormat="1" ht="33.75">
      <c r="A158" s="48" t="s">
        <v>195</v>
      </c>
      <c r="B158" s="107" t="s">
        <v>362</v>
      </c>
      <c r="C158" s="107" t="s">
        <v>308</v>
      </c>
      <c r="D158" s="112" t="s">
        <v>342</v>
      </c>
      <c r="E158" s="98">
        <v>200</v>
      </c>
      <c r="F158" s="109">
        <f>1735272+2036838</f>
        <v>3772110</v>
      </c>
      <c r="G158" s="109">
        <v>0</v>
      </c>
      <c r="H158" s="109">
        <v>0</v>
      </c>
      <c r="I158" s="169"/>
      <c r="J158" s="299"/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1"/>
      <c r="V158" s="301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</row>
    <row r="159" spans="1:32" s="103" customFormat="1" ht="16.5">
      <c r="A159" s="48" t="s">
        <v>197</v>
      </c>
      <c r="B159" s="107" t="s">
        <v>362</v>
      </c>
      <c r="C159" s="107" t="s">
        <v>308</v>
      </c>
      <c r="D159" s="112" t="s">
        <v>342</v>
      </c>
      <c r="E159" s="98">
        <v>800</v>
      </c>
      <c r="F159" s="109">
        <f>8917739-734685</f>
        <v>8183054</v>
      </c>
      <c r="G159" s="109">
        <v>0</v>
      </c>
      <c r="H159" s="109">
        <v>0</v>
      </c>
      <c r="I159" s="169"/>
      <c r="J159" s="299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1"/>
      <c r="V159" s="301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</row>
    <row r="160" spans="1:32" s="103" customFormat="1" ht="16.5">
      <c r="A160" s="66" t="s">
        <v>364</v>
      </c>
      <c r="B160" s="105" t="s">
        <v>362</v>
      </c>
      <c r="C160" s="105" t="s">
        <v>310</v>
      </c>
      <c r="D160" s="113"/>
      <c r="E160" s="101"/>
      <c r="F160" s="111">
        <f>F161</f>
        <v>60629269.00999998</v>
      </c>
      <c r="G160" s="111">
        <f aca="true" t="shared" si="15" ref="G160:H162">G161</f>
        <v>0</v>
      </c>
      <c r="H160" s="111">
        <f t="shared" si="15"/>
        <v>0</v>
      </c>
      <c r="I160" s="169"/>
      <c r="J160" s="299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1"/>
      <c r="V160" s="301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</row>
    <row r="161" spans="1:32" s="103" customFormat="1" ht="16.5">
      <c r="A161" s="70" t="s">
        <v>311</v>
      </c>
      <c r="B161" s="105" t="s">
        <v>362</v>
      </c>
      <c r="C161" s="105" t="s">
        <v>310</v>
      </c>
      <c r="D161" s="113" t="s">
        <v>312</v>
      </c>
      <c r="E161" s="101"/>
      <c r="F161" s="111">
        <f>F162</f>
        <v>60629269.00999998</v>
      </c>
      <c r="G161" s="111">
        <f t="shared" si="15"/>
        <v>0</v>
      </c>
      <c r="H161" s="111">
        <f t="shared" si="15"/>
        <v>0</v>
      </c>
      <c r="I161" s="169"/>
      <c r="J161" s="299"/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1"/>
      <c r="V161" s="301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</row>
    <row r="162" spans="1:8" ht="16.5">
      <c r="A162" s="48" t="s">
        <v>331</v>
      </c>
      <c r="B162" s="107" t="s">
        <v>362</v>
      </c>
      <c r="C162" s="107" t="s">
        <v>310</v>
      </c>
      <c r="D162" s="112" t="s">
        <v>332</v>
      </c>
      <c r="E162" s="98"/>
      <c r="F162" s="109">
        <f>F163</f>
        <v>60629269.00999998</v>
      </c>
      <c r="G162" s="109">
        <f t="shared" si="15"/>
        <v>0</v>
      </c>
      <c r="H162" s="109">
        <f t="shared" si="15"/>
        <v>0</v>
      </c>
    </row>
    <row r="163" spans="1:8" ht="33.75">
      <c r="A163" s="48" t="s">
        <v>341</v>
      </c>
      <c r="B163" s="107" t="s">
        <v>362</v>
      </c>
      <c r="C163" s="107" t="s">
        <v>310</v>
      </c>
      <c r="D163" s="112" t="s">
        <v>342</v>
      </c>
      <c r="E163" s="98"/>
      <c r="F163" s="109">
        <f>SUM(F164:F166)</f>
        <v>60629269.00999998</v>
      </c>
      <c r="G163" s="109">
        <f>SUM(G164:G166)</f>
        <v>0</v>
      </c>
      <c r="H163" s="109">
        <f>SUM(H164:H166)</f>
        <v>0</v>
      </c>
    </row>
    <row r="164" spans="1:8" ht="33.75">
      <c r="A164" s="48" t="s">
        <v>195</v>
      </c>
      <c r="B164" s="107" t="s">
        <v>362</v>
      </c>
      <c r="C164" s="107" t="s">
        <v>310</v>
      </c>
      <c r="D164" s="112" t="s">
        <v>342</v>
      </c>
      <c r="E164" s="98">
        <v>200</v>
      </c>
      <c r="F164" s="109">
        <f>825493.2+680610+416025.6+943222.8+433294.8+2845783.2+189972.28-1506103.2+2947916.4+297000</f>
        <v>8073215.08</v>
      </c>
      <c r="G164" s="109">
        <v>0</v>
      </c>
      <c r="H164" s="109">
        <v>0</v>
      </c>
    </row>
    <row r="165" spans="1:8" ht="33.75" hidden="1">
      <c r="A165" s="48" t="s">
        <v>272</v>
      </c>
      <c r="B165" s="107" t="s">
        <v>362</v>
      </c>
      <c r="C165" s="107" t="s">
        <v>310</v>
      </c>
      <c r="D165" s="112" t="s">
        <v>342</v>
      </c>
      <c r="E165" s="98">
        <v>400</v>
      </c>
      <c r="F165" s="109">
        <v>0</v>
      </c>
      <c r="G165" s="109">
        <v>0</v>
      </c>
      <c r="H165" s="109">
        <v>0</v>
      </c>
    </row>
    <row r="166" spans="1:8" ht="33.75">
      <c r="A166" s="46" t="s">
        <v>204</v>
      </c>
      <c r="B166" s="107" t="s">
        <v>362</v>
      </c>
      <c r="C166" s="107" t="s">
        <v>310</v>
      </c>
      <c r="D166" s="112" t="s">
        <v>342</v>
      </c>
      <c r="E166" s="98">
        <v>600</v>
      </c>
      <c r="F166" s="109">
        <f>24344016+2341273.2+447306+517561+738904.8+1063270.8+6314829.6+2997580.8+358232.4+8357284.8+56700+376255.2+19693551.1-19693551.1+2006945.83+375536.72+175000+2085356.78</f>
        <v>52556053.929999985</v>
      </c>
      <c r="G166" s="109">
        <v>0</v>
      </c>
      <c r="H166" s="109">
        <v>0</v>
      </c>
    </row>
    <row r="167" spans="1:8" ht="16.5">
      <c r="A167" s="66" t="s">
        <v>365</v>
      </c>
      <c r="B167" s="105" t="s">
        <v>362</v>
      </c>
      <c r="C167" s="105" t="s">
        <v>318</v>
      </c>
      <c r="D167" s="113"/>
      <c r="E167" s="101"/>
      <c r="F167" s="111">
        <f>F168</f>
        <v>299137.86</v>
      </c>
      <c r="G167" s="111">
        <f aca="true" t="shared" si="16" ref="G167:H170">G168</f>
        <v>0</v>
      </c>
      <c r="H167" s="111">
        <f t="shared" si="16"/>
        <v>0</v>
      </c>
    </row>
    <row r="168" spans="1:8" ht="16.5">
      <c r="A168" s="70" t="s">
        <v>311</v>
      </c>
      <c r="B168" s="105" t="s">
        <v>362</v>
      </c>
      <c r="C168" s="105" t="s">
        <v>318</v>
      </c>
      <c r="D168" s="113" t="s">
        <v>312</v>
      </c>
      <c r="E168" s="101"/>
      <c r="F168" s="111">
        <f>F169</f>
        <v>299137.86</v>
      </c>
      <c r="G168" s="111">
        <f t="shared" si="16"/>
        <v>0</v>
      </c>
      <c r="H168" s="111">
        <f t="shared" si="16"/>
        <v>0</v>
      </c>
    </row>
    <row r="169" spans="1:8" ht="16.5">
      <c r="A169" s="48" t="s">
        <v>331</v>
      </c>
      <c r="B169" s="107" t="s">
        <v>362</v>
      </c>
      <c r="C169" s="107" t="s">
        <v>318</v>
      </c>
      <c r="D169" s="112" t="s">
        <v>332</v>
      </c>
      <c r="E169" s="98"/>
      <c r="F169" s="109">
        <f>F170</f>
        <v>299137.86</v>
      </c>
      <c r="G169" s="109">
        <f t="shared" si="16"/>
        <v>0</v>
      </c>
      <c r="H169" s="109">
        <f t="shared" si="16"/>
        <v>0</v>
      </c>
    </row>
    <row r="170" spans="1:8" ht="33.75">
      <c r="A170" s="48" t="s">
        <v>341</v>
      </c>
      <c r="B170" s="107" t="s">
        <v>362</v>
      </c>
      <c r="C170" s="107" t="s">
        <v>318</v>
      </c>
      <c r="D170" s="112" t="s">
        <v>342</v>
      </c>
      <c r="E170" s="98"/>
      <c r="F170" s="109">
        <f>F171</f>
        <v>299137.86</v>
      </c>
      <c r="G170" s="109">
        <f t="shared" si="16"/>
        <v>0</v>
      </c>
      <c r="H170" s="109">
        <f t="shared" si="16"/>
        <v>0</v>
      </c>
    </row>
    <row r="171" spans="1:8" ht="33.75">
      <c r="A171" s="48" t="s">
        <v>195</v>
      </c>
      <c r="B171" s="107" t="s">
        <v>362</v>
      </c>
      <c r="C171" s="107" t="s">
        <v>318</v>
      </c>
      <c r="D171" s="112" t="s">
        <v>342</v>
      </c>
      <c r="E171" s="98">
        <v>200</v>
      </c>
      <c r="F171" s="109">
        <f>149137.86+40000+40000+70000</f>
        <v>299137.86</v>
      </c>
      <c r="G171" s="109">
        <v>0</v>
      </c>
      <c r="H171" s="109">
        <v>0</v>
      </c>
    </row>
    <row r="172" spans="1:8" ht="16.5">
      <c r="A172" s="66" t="s">
        <v>366</v>
      </c>
      <c r="B172" s="105" t="s">
        <v>362</v>
      </c>
      <c r="C172" s="105" t="s">
        <v>367</v>
      </c>
      <c r="D172" s="113"/>
      <c r="E172" s="101"/>
      <c r="F172" s="111">
        <f>F173</f>
        <v>50000</v>
      </c>
      <c r="G172" s="111">
        <f aca="true" t="shared" si="17" ref="G172:H175">G173</f>
        <v>0</v>
      </c>
      <c r="H172" s="111">
        <f t="shared" si="17"/>
        <v>0</v>
      </c>
    </row>
    <row r="173" spans="1:8" ht="16.5">
      <c r="A173" s="70" t="s">
        <v>311</v>
      </c>
      <c r="B173" s="105" t="s">
        <v>362</v>
      </c>
      <c r="C173" s="105" t="s">
        <v>367</v>
      </c>
      <c r="D173" s="113" t="s">
        <v>312</v>
      </c>
      <c r="E173" s="101"/>
      <c r="F173" s="111">
        <f>F174</f>
        <v>50000</v>
      </c>
      <c r="G173" s="111">
        <f t="shared" si="17"/>
        <v>0</v>
      </c>
      <c r="H173" s="111">
        <f t="shared" si="17"/>
        <v>0</v>
      </c>
    </row>
    <row r="174" spans="1:8" ht="16.5">
      <c r="A174" s="48" t="s">
        <v>331</v>
      </c>
      <c r="B174" s="107" t="s">
        <v>362</v>
      </c>
      <c r="C174" s="107" t="s">
        <v>367</v>
      </c>
      <c r="D174" s="112" t="s">
        <v>332</v>
      </c>
      <c r="E174" s="98"/>
      <c r="F174" s="109">
        <f>F175</f>
        <v>50000</v>
      </c>
      <c r="G174" s="109">
        <f t="shared" si="17"/>
        <v>0</v>
      </c>
      <c r="H174" s="109">
        <f t="shared" si="17"/>
        <v>0</v>
      </c>
    </row>
    <row r="175" spans="1:8" ht="33.75">
      <c r="A175" s="48" t="s">
        <v>341</v>
      </c>
      <c r="B175" s="107" t="s">
        <v>362</v>
      </c>
      <c r="C175" s="107" t="s">
        <v>367</v>
      </c>
      <c r="D175" s="112" t="s">
        <v>342</v>
      </c>
      <c r="E175" s="98"/>
      <c r="F175" s="109">
        <f>F176</f>
        <v>50000</v>
      </c>
      <c r="G175" s="109">
        <f t="shared" si="17"/>
        <v>0</v>
      </c>
      <c r="H175" s="109">
        <f t="shared" si="17"/>
        <v>0</v>
      </c>
    </row>
    <row r="176" spans="1:8" ht="33.75">
      <c r="A176" s="48" t="s">
        <v>195</v>
      </c>
      <c r="B176" s="107" t="s">
        <v>362</v>
      </c>
      <c r="C176" s="107" t="s">
        <v>367</v>
      </c>
      <c r="D176" s="112" t="s">
        <v>342</v>
      </c>
      <c r="E176" s="98">
        <v>200</v>
      </c>
      <c r="F176" s="109">
        <v>50000</v>
      </c>
      <c r="G176" s="109">
        <v>0</v>
      </c>
      <c r="H176" s="109">
        <v>0</v>
      </c>
    </row>
    <row r="177" spans="1:8" ht="16.5">
      <c r="A177" s="66" t="s">
        <v>368</v>
      </c>
      <c r="B177" s="105" t="s">
        <v>369</v>
      </c>
      <c r="C177" s="105"/>
      <c r="D177" s="112"/>
      <c r="E177" s="98"/>
      <c r="F177" s="111">
        <f>F178</f>
        <v>0</v>
      </c>
      <c r="G177" s="111">
        <f aca="true" t="shared" si="18" ref="G177:H181">G178</f>
        <v>900000</v>
      </c>
      <c r="H177" s="111">
        <f t="shared" si="18"/>
        <v>900000</v>
      </c>
    </row>
    <row r="178" spans="1:8" ht="16.5">
      <c r="A178" s="66" t="s">
        <v>370</v>
      </c>
      <c r="B178" s="105" t="s">
        <v>369</v>
      </c>
      <c r="C178" s="105" t="s">
        <v>308</v>
      </c>
      <c r="D178" s="112"/>
      <c r="E178" s="98"/>
      <c r="F178" s="111">
        <f>F179</f>
        <v>0</v>
      </c>
      <c r="G178" s="111">
        <f t="shared" si="18"/>
        <v>900000</v>
      </c>
      <c r="H178" s="111">
        <f t="shared" si="18"/>
        <v>900000</v>
      </c>
    </row>
    <row r="179" spans="1:8" ht="16.5">
      <c r="A179" s="70" t="s">
        <v>311</v>
      </c>
      <c r="B179" s="105" t="s">
        <v>369</v>
      </c>
      <c r="C179" s="105" t="s">
        <v>308</v>
      </c>
      <c r="D179" s="113" t="s">
        <v>312</v>
      </c>
      <c r="E179" s="101"/>
      <c r="F179" s="111">
        <f>F180</f>
        <v>0</v>
      </c>
      <c r="G179" s="111">
        <f t="shared" si="18"/>
        <v>900000</v>
      </c>
      <c r="H179" s="111">
        <f t="shared" si="18"/>
        <v>900000</v>
      </c>
    </row>
    <row r="180" spans="1:8" ht="16.5">
      <c r="A180" s="48" t="s">
        <v>331</v>
      </c>
      <c r="B180" s="107" t="s">
        <v>369</v>
      </c>
      <c r="C180" s="107" t="s">
        <v>308</v>
      </c>
      <c r="D180" s="112" t="s">
        <v>332</v>
      </c>
      <c r="E180" s="98"/>
      <c r="F180" s="109">
        <f>F181</f>
        <v>0</v>
      </c>
      <c r="G180" s="109">
        <f t="shared" si="18"/>
        <v>900000</v>
      </c>
      <c r="H180" s="109">
        <f t="shared" si="18"/>
        <v>900000</v>
      </c>
    </row>
    <row r="181" spans="1:8" ht="16.5">
      <c r="A181" s="48" t="s">
        <v>396</v>
      </c>
      <c r="B181" s="107" t="s">
        <v>369</v>
      </c>
      <c r="C181" s="107" t="s">
        <v>308</v>
      </c>
      <c r="D181" s="112" t="s">
        <v>395</v>
      </c>
      <c r="E181" s="98"/>
      <c r="F181" s="109">
        <f>F182</f>
        <v>0</v>
      </c>
      <c r="G181" s="109">
        <f t="shared" si="18"/>
        <v>900000</v>
      </c>
      <c r="H181" s="109">
        <f t="shared" si="18"/>
        <v>900000</v>
      </c>
    </row>
    <row r="182" spans="1:8" ht="33.75">
      <c r="A182" s="48" t="s">
        <v>195</v>
      </c>
      <c r="B182" s="107" t="s">
        <v>369</v>
      </c>
      <c r="C182" s="107" t="s">
        <v>308</v>
      </c>
      <c r="D182" s="112" t="s">
        <v>395</v>
      </c>
      <c r="E182" s="98">
        <v>200</v>
      </c>
      <c r="F182" s="109">
        <v>0</v>
      </c>
      <c r="G182" s="109">
        <v>900000</v>
      </c>
      <c r="H182" s="109">
        <v>900000</v>
      </c>
    </row>
    <row r="183" spans="1:32" s="103" customFormat="1" ht="16.5" hidden="1">
      <c r="A183" s="66" t="s">
        <v>371</v>
      </c>
      <c r="B183" s="105" t="s">
        <v>367</v>
      </c>
      <c r="C183" s="105"/>
      <c r="D183" s="113"/>
      <c r="E183" s="101"/>
      <c r="F183" s="111">
        <f>F184</f>
        <v>0</v>
      </c>
      <c r="G183" s="111">
        <f aca="true" t="shared" si="19" ref="G183:H187">G184</f>
        <v>0</v>
      </c>
      <c r="H183" s="111">
        <f t="shared" si="19"/>
        <v>0</v>
      </c>
      <c r="I183" s="169"/>
      <c r="J183" s="299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1"/>
      <c r="V183" s="301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</row>
    <row r="184" spans="1:32" s="103" customFormat="1" ht="16.5" hidden="1">
      <c r="A184" s="66" t="s">
        <v>372</v>
      </c>
      <c r="B184" s="105" t="s">
        <v>367</v>
      </c>
      <c r="C184" s="105" t="s">
        <v>367</v>
      </c>
      <c r="D184" s="113"/>
      <c r="E184" s="101"/>
      <c r="F184" s="111">
        <f>F185</f>
        <v>0</v>
      </c>
      <c r="G184" s="111">
        <f t="shared" si="19"/>
        <v>0</v>
      </c>
      <c r="H184" s="111">
        <f t="shared" si="19"/>
        <v>0</v>
      </c>
      <c r="I184" s="169"/>
      <c r="J184" s="299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1"/>
      <c r="V184" s="301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</row>
    <row r="185" spans="1:32" s="103" customFormat="1" ht="16.5" hidden="1">
      <c r="A185" s="70" t="s">
        <v>311</v>
      </c>
      <c r="B185" s="105" t="s">
        <v>367</v>
      </c>
      <c r="C185" s="105" t="s">
        <v>367</v>
      </c>
      <c r="D185" s="113" t="s">
        <v>312</v>
      </c>
      <c r="E185" s="101"/>
      <c r="F185" s="111">
        <f>F186</f>
        <v>0</v>
      </c>
      <c r="G185" s="111">
        <f t="shared" si="19"/>
        <v>0</v>
      </c>
      <c r="H185" s="111">
        <f t="shared" si="19"/>
        <v>0</v>
      </c>
      <c r="I185" s="169"/>
      <c r="J185" s="299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1"/>
      <c r="V185" s="301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</row>
    <row r="186" spans="1:8" ht="16.5" hidden="1">
      <c r="A186" s="48" t="s">
        <v>331</v>
      </c>
      <c r="B186" s="107" t="s">
        <v>367</v>
      </c>
      <c r="C186" s="107" t="s">
        <v>367</v>
      </c>
      <c r="D186" s="112" t="s">
        <v>332</v>
      </c>
      <c r="E186" s="98"/>
      <c r="F186" s="109">
        <f>F187</f>
        <v>0</v>
      </c>
      <c r="G186" s="109">
        <f t="shared" si="19"/>
        <v>0</v>
      </c>
      <c r="H186" s="109">
        <f t="shared" si="19"/>
        <v>0</v>
      </c>
    </row>
    <row r="187" spans="1:8" ht="33.75" hidden="1">
      <c r="A187" s="48" t="s">
        <v>341</v>
      </c>
      <c r="B187" s="107" t="s">
        <v>367</v>
      </c>
      <c r="C187" s="107" t="s">
        <v>367</v>
      </c>
      <c r="D187" s="112" t="s">
        <v>342</v>
      </c>
      <c r="E187" s="98"/>
      <c r="F187" s="109">
        <f>F188</f>
        <v>0</v>
      </c>
      <c r="G187" s="109">
        <f t="shared" si="19"/>
        <v>0</v>
      </c>
      <c r="H187" s="109">
        <f t="shared" si="19"/>
        <v>0</v>
      </c>
    </row>
    <row r="188" spans="1:8" ht="33.75" hidden="1">
      <c r="A188" s="48" t="s">
        <v>195</v>
      </c>
      <c r="B188" s="107" t="s">
        <v>367</v>
      </c>
      <c r="C188" s="107" t="s">
        <v>367</v>
      </c>
      <c r="D188" s="112" t="s">
        <v>342</v>
      </c>
      <c r="E188" s="98">
        <v>200</v>
      </c>
      <c r="F188" s="109">
        <v>0</v>
      </c>
      <c r="G188" s="109">
        <v>0</v>
      </c>
      <c r="H188" s="109">
        <v>0</v>
      </c>
    </row>
    <row r="189" spans="1:32" s="103" customFormat="1" ht="16.5">
      <c r="A189" s="70" t="s">
        <v>373</v>
      </c>
      <c r="B189" s="105" t="s">
        <v>345</v>
      </c>
      <c r="C189" s="105"/>
      <c r="D189" s="105"/>
      <c r="E189" s="105"/>
      <c r="F189" s="106">
        <f>F190+F195+F203+F210</f>
        <v>67718143.36</v>
      </c>
      <c r="G189" s="106">
        <f>G190+G195+G203+G210</f>
        <v>21346438.03</v>
      </c>
      <c r="H189" s="106">
        <f>H190+H195+H203+H210</f>
        <v>21346438.03</v>
      </c>
      <c r="I189" s="169"/>
      <c r="J189" s="299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1"/>
      <c r="V189" s="301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</row>
    <row r="190" spans="1:32" s="103" customFormat="1" ht="16.5">
      <c r="A190" s="70" t="s">
        <v>374</v>
      </c>
      <c r="B190" s="105" t="s">
        <v>345</v>
      </c>
      <c r="C190" s="105" t="s">
        <v>308</v>
      </c>
      <c r="D190" s="105"/>
      <c r="E190" s="105"/>
      <c r="F190" s="106">
        <f aca="true" t="shared" si="20" ref="F190:H193">F191</f>
        <v>4392396.68</v>
      </c>
      <c r="G190" s="106">
        <f t="shared" si="20"/>
        <v>3872922</v>
      </c>
      <c r="H190" s="106">
        <f t="shared" si="20"/>
        <v>3872922</v>
      </c>
      <c r="I190" s="169"/>
      <c r="J190" s="299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1"/>
      <c r="V190" s="301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</row>
    <row r="191" spans="1:32" s="103" customFormat="1" ht="16.5">
      <c r="A191" s="70" t="s">
        <v>311</v>
      </c>
      <c r="B191" s="105" t="s">
        <v>345</v>
      </c>
      <c r="C191" s="105" t="s">
        <v>308</v>
      </c>
      <c r="D191" s="105" t="s">
        <v>312</v>
      </c>
      <c r="E191" s="105"/>
      <c r="F191" s="106">
        <f t="shared" si="20"/>
        <v>4392396.68</v>
      </c>
      <c r="G191" s="106">
        <f t="shared" si="20"/>
        <v>3872922</v>
      </c>
      <c r="H191" s="106">
        <f t="shared" si="20"/>
        <v>3872922</v>
      </c>
      <c r="I191" s="169"/>
      <c r="J191" s="299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1"/>
      <c r="V191" s="301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</row>
    <row r="192" spans="1:8" ht="16.5">
      <c r="A192" s="48" t="s">
        <v>331</v>
      </c>
      <c r="B192" s="107" t="s">
        <v>345</v>
      </c>
      <c r="C192" s="107" t="s">
        <v>308</v>
      </c>
      <c r="D192" s="107" t="s">
        <v>332</v>
      </c>
      <c r="E192" s="107"/>
      <c r="F192" s="108">
        <f>F193</f>
        <v>4392396.68</v>
      </c>
      <c r="G192" s="108">
        <f t="shared" si="20"/>
        <v>3872922</v>
      </c>
      <c r="H192" s="108">
        <f t="shared" si="20"/>
        <v>3872922</v>
      </c>
    </row>
    <row r="193" spans="1:8" ht="51">
      <c r="A193" s="114" t="s">
        <v>644</v>
      </c>
      <c r="B193" s="107" t="s">
        <v>345</v>
      </c>
      <c r="C193" s="107" t="s">
        <v>308</v>
      </c>
      <c r="D193" s="107" t="s">
        <v>645</v>
      </c>
      <c r="E193" s="107"/>
      <c r="F193" s="108">
        <f t="shared" si="20"/>
        <v>4392396.68</v>
      </c>
      <c r="G193" s="108">
        <f t="shared" si="20"/>
        <v>3872922</v>
      </c>
      <c r="H193" s="108">
        <f t="shared" si="20"/>
        <v>3872922</v>
      </c>
    </row>
    <row r="194" spans="1:8" ht="16.5">
      <c r="A194" s="48" t="s">
        <v>196</v>
      </c>
      <c r="B194" s="107" t="s">
        <v>345</v>
      </c>
      <c r="C194" s="107" t="s">
        <v>308</v>
      </c>
      <c r="D194" s="107" t="s">
        <v>645</v>
      </c>
      <c r="E194" s="107" t="s">
        <v>257</v>
      </c>
      <c r="F194" s="109">
        <f>3872922+519474.68</f>
        <v>4392396.68</v>
      </c>
      <c r="G194" s="109">
        <v>3872922</v>
      </c>
      <c r="H194" s="109">
        <v>3872922</v>
      </c>
    </row>
    <row r="195" spans="1:8" ht="16.5">
      <c r="A195" s="70" t="s">
        <v>375</v>
      </c>
      <c r="B195" s="105" t="s">
        <v>345</v>
      </c>
      <c r="C195" s="105" t="s">
        <v>318</v>
      </c>
      <c r="D195" s="105"/>
      <c r="E195" s="105"/>
      <c r="F195" s="106">
        <f aca="true" t="shared" si="21" ref="F195:H196">F196</f>
        <v>29826711.990000002</v>
      </c>
      <c r="G195" s="106">
        <f t="shared" si="21"/>
        <v>0</v>
      </c>
      <c r="H195" s="106">
        <f t="shared" si="21"/>
        <v>0</v>
      </c>
    </row>
    <row r="196" spans="1:8" ht="16.5">
      <c r="A196" s="70" t="s">
        <v>311</v>
      </c>
      <c r="B196" s="105" t="s">
        <v>345</v>
      </c>
      <c r="C196" s="105" t="s">
        <v>318</v>
      </c>
      <c r="D196" s="105" t="s">
        <v>312</v>
      </c>
      <c r="E196" s="105"/>
      <c r="F196" s="106">
        <f t="shared" si="21"/>
        <v>29826711.990000002</v>
      </c>
      <c r="G196" s="106">
        <f t="shared" si="21"/>
        <v>0</v>
      </c>
      <c r="H196" s="106">
        <f t="shared" si="21"/>
        <v>0</v>
      </c>
    </row>
    <row r="197" spans="1:8" ht="16.5">
      <c r="A197" s="48" t="s">
        <v>331</v>
      </c>
      <c r="B197" s="107" t="s">
        <v>345</v>
      </c>
      <c r="C197" s="107" t="s">
        <v>318</v>
      </c>
      <c r="D197" s="107" t="s">
        <v>332</v>
      </c>
      <c r="E197" s="107"/>
      <c r="F197" s="108">
        <f>F198+F201</f>
        <v>29826711.990000002</v>
      </c>
      <c r="G197" s="108">
        <f>G198+G201</f>
        <v>0</v>
      </c>
      <c r="H197" s="108">
        <f>H198+H201</f>
        <v>0</v>
      </c>
    </row>
    <row r="198" spans="1:8" ht="33.75">
      <c r="A198" s="48" t="s">
        <v>376</v>
      </c>
      <c r="B198" s="107" t="s">
        <v>345</v>
      </c>
      <c r="C198" s="107" t="s">
        <v>318</v>
      </c>
      <c r="D198" s="107" t="s">
        <v>377</v>
      </c>
      <c r="E198" s="107"/>
      <c r="F198" s="108">
        <f>F200+F199</f>
        <v>29826711.990000002</v>
      </c>
      <c r="G198" s="108">
        <f>G200+G199</f>
        <v>0</v>
      </c>
      <c r="H198" s="108">
        <f>H200+H199</f>
        <v>0</v>
      </c>
    </row>
    <row r="199" spans="1:8" ht="33.75">
      <c r="A199" s="48" t="s">
        <v>195</v>
      </c>
      <c r="B199" s="107" t="s">
        <v>345</v>
      </c>
      <c r="C199" s="107" t="s">
        <v>318</v>
      </c>
      <c r="D199" s="107" t="s">
        <v>377</v>
      </c>
      <c r="E199" s="107" t="s">
        <v>252</v>
      </c>
      <c r="F199" s="108">
        <v>3050171.99</v>
      </c>
      <c r="G199" s="108">
        <v>0</v>
      </c>
      <c r="H199" s="108">
        <v>0</v>
      </c>
    </row>
    <row r="200" spans="1:8" ht="33.75">
      <c r="A200" s="48" t="s">
        <v>220</v>
      </c>
      <c r="B200" s="107" t="s">
        <v>345</v>
      </c>
      <c r="C200" s="107" t="s">
        <v>318</v>
      </c>
      <c r="D200" s="107" t="s">
        <v>377</v>
      </c>
      <c r="E200" s="107" t="s">
        <v>266</v>
      </c>
      <c r="F200" s="109">
        <f>22638740+4137800</f>
        <v>26776540</v>
      </c>
      <c r="G200" s="109">
        <v>0</v>
      </c>
      <c r="H200" s="109">
        <v>0</v>
      </c>
    </row>
    <row r="201" spans="1:8" ht="33.75" hidden="1">
      <c r="A201" s="48" t="s">
        <v>341</v>
      </c>
      <c r="B201" s="107" t="s">
        <v>345</v>
      </c>
      <c r="C201" s="107" t="s">
        <v>318</v>
      </c>
      <c r="D201" s="112" t="s">
        <v>342</v>
      </c>
      <c r="E201" s="98"/>
      <c r="F201" s="109">
        <f>F202</f>
        <v>0</v>
      </c>
      <c r="G201" s="109">
        <f>G202</f>
        <v>0</v>
      </c>
      <c r="H201" s="109">
        <f>H202</f>
        <v>0</v>
      </c>
    </row>
    <row r="202" spans="1:8" ht="33.75" hidden="1">
      <c r="A202" s="48" t="s">
        <v>195</v>
      </c>
      <c r="B202" s="107" t="s">
        <v>345</v>
      </c>
      <c r="C202" s="107" t="s">
        <v>318</v>
      </c>
      <c r="D202" s="112" t="s">
        <v>342</v>
      </c>
      <c r="E202" s="98">
        <v>200</v>
      </c>
      <c r="F202" s="109">
        <v>0</v>
      </c>
      <c r="G202" s="109">
        <v>0</v>
      </c>
      <c r="H202" s="109">
        <v>0</v>
      </c>
    </row>
    <row r="203" spans="1:8" ht="16.5">
      <c r="A203" s="70" t="s">
        <v>378</v>
      </c>
      <c r="B203" s="105" t="s">
        <v>345</v>
      </c>
      <c r="C203" s="105" t="s">
        <v>322</v>
      </c>
      <c r="D203" s="105"/>
      <c r="E203" s="105"/>
      <c r="F203" s="106">
        <f aca="true" t="shared" si="22" ref="F203:H205">F204</f>
        <v>16165600</v>
      </c>
      <c r="G203" s="106">
        <f t="shared" si="22"/>
        <v>13500000</v>
      </c>
      <c r="H203" s="106">
        <f t="shared" si="22"/>
        <v>13500000</v>
      </c>
    </row>
    <row r="204" spans="1:8" ht="16.5">
      <c r="A204" s="70" t="s">
        <v>311</v>
      </c>
      <c r="B204" s="105" t="s">
        <v>345</v>
      </c>
      <c r="C204" s="105" t="s">
        <v>322</v>
      </c>
      <c r="D204" s="105" t="s">
        <v>312</v>
      </c>
      <c r="E204" s="105"/>
      <c r="F204" s="106">
        <f t="shared" si="22"/>
        <v>16165600</v>
      </c>
      <c r="G204" s="106">
        <f t="shared" si="22"/>
        <v>13500000</v>
      </c>
      <c r="H204" s="106">
        <f t="shared" si="22"/>
        <v>13500000</v>
      </c>
    </row>
    <row r="205" spans="1:8" ht="16.5">
      <c r="A205" s="48" t="s">
        <v>331</v>
      </c>
      <c r="B205" s="107" t="s">
        <v>345</v>
      </c>
      <c r="C205" s="107" t="s">
        <v>322</v>
      </c>
      <c r="D205" s="107" t="s">
        <v>332</v>
      </c>
      <c r="E205" s="107"/>
      <c r="F205" s="108">
        <f>F206</f>
        <v>16165600</v>
      </c>
      <c r="G205" s="108">
        <f t="shared" si="22"/>
        <v>13500000</v>
      </c>
      <c r="H205" s="108">
        <f t="shared" si="22"/>
        <v>13500000</v>
      </c>
    </row>
    <row r="206" spans="1:8" ht="33.75">
      <c r="A206" s="48" t="s">
        <v>376</v>
      </c>
      <c r="B206" s="107" t="s">
        <v>345</v>
      </c>
      <c r="C206" s="107" t="s">
        <v>322</v>
      </c>
      <c r="D206" s="107" t="s">
        <v>377</v>
      </c>
      <c r="E206" s="107"/>
      <c r="F206" s="108">
        <f>SUM(F207:F209)</f>
        <v>16165600</v>
      </c>
      <c r="G206" s="108">
        <f>SUM(G207:G208)</f>
        <v>13500000</v>
      </c>
      <c r="H206" s="108">
        <f>SUM(H207:H208)</f>
        <v>13500000</v>
      </c>
    </row>
    <row r="207" spans="1:8" ht="33.75">
      <c r="A207" s="48" t="s">
        <v>195</v>
      </c>
      <c r="B207" s="107" t="s">
        <v>345</v>
      </c>
      <c r="C207" s="107" t="s">
        <v>322</v>
      </c>
      <c r="D207" s="107" t="s">
        <v>377</v>
      </c>
      <c r="E207" s="107" t="s">
        <v>252</v>
      </c>
      <c r="F207" s="353">
        <f>197734-52167.65</f>
        <v>145566.35</v>
      </c>
      <c r="G207" s="353">
        <v>197734</v>
      </c>
      <c r="H207" s="353">
        <v>197734</v>
      </c>
    </row>
    <row r="208" spans="1:8" ht="16.5">
      <c r="A208" s="48" t="s">
        <v>196</v>
      </c>
      <c r="B208" s="107" t="s">
        <v>345</v>
      </c>
      <c r="C208" s="107" t="s">
        <v>322</v>
      </c>
      <c r="D208" s="107" t="s">
        <v>377</v>
      </c>
      <c r="E208" s="107" t="s">
        <v>257</v>
      </c>
      <c r="F208" s="353">
        <f>13302266+52167.65</f>
        <v>13354433.65</v>
      </c>
      <c r="G208" s="353">
        <v>13302266</v>
      </c>
      <c r="H208" s="353">
        <v>13302266</v>
      </c>
    </row>
    <row r="209" spans="1:9" ht="33.75">
      <c r="A209" s="48" t="s">
        <v>220</v>
      </c>
      <c r="B209" s="107" t="s">
        <v>345</v>
      </c>
      <c r="C209" s="107" t="s">
        <v>322</v>
      </c>
      <c r="D209" s="107" t="s">
        <v>377</v>
      </c>
      <c r="E209" s="107" t="s">
        <v>266</v>
      </c>
      <c r="F209" s="353">
        <v>2665600</v>
      </c>
      <c r="G209" s="354">
        <v>0</v>
      </c>
      <c r="H209" s="354">
        <v>0</v>
      </c>
      <c r="I209" s="347"/>
    </row>
    <row r="210" spans="1:32" s="103" customFormat="1" ht="16.5">
      <c r="A210" s="70" t="s">
        <v>379</v>
      </c>
      <c r="B210" s="105" t="s">
        <v>345</v>
      </c>
      <c r="C210" s="105" t="s">
        <v>326</v>
      </c>
      <c r="D210" s="105"/>
      <c r="E210" s="105"/>
      <c r="F210" s="106">
        <f>F211</f>
        <v>17333434.689999998</v>
      </c>
      <c r="G210" s="106">
        <f>G211</f>
        <v>3973516.03</v>
      </c>
      <c r="H210" s="106">
        <f>H211</f>
        <v>3973516.03</v>
      </c>
      <c r="I210" s="169"/>
      <c r="J210" s="299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1"/>
      <c r="V210" s="301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</row>
    <row r="211" spans="1:32" s="103" customFormat="1" ht="16.5">
      <c r="A211" s="70" t="s">
        <v>311</v>
      </c>
      <c r="B211" s="105" t="s">
        <v>345</v>
      </c>
      <c r="C211" s="105" t="s">
        <v>326</v>
      </c>
      <c r="D211" s="105" t="s">
        <v>312</v>
      </c>
      <c r="E211" s="105"/>
      <c r="F211" s="106">
        <f>F212+F215</f>
        <v>17333434.689999998</v>
      </c>
      <c r="G211" s="106">
        <f>G212+G215</f>
        <v>3973516.03</v>
      </c>
      <c r="H211" s="106">
        <f>H212+H215</f>
        <v>3973516.03</v>
      </c>
      <c r="I211" s="169"/>
      <c r="J211" s="299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1"/>
      <c r="V211" s="301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</row>
    <row r="212" spans="1:32" s="103" customFormat="1" ht="33.75">
      <c r="A212" s="48" t="s">
        <v>313</v>
      </c>
      <c r="B212" s="107" t="s">
        <v>345</v>
      </c>
      <c r="C212" s="107" t="s">
        <v>326</v>
      </c>
      <c r="D212" s="107" t="s">
        <v>314</v>
      </c>
      <c r="E212" s="107"/>
      <c r="F212" s="108">
        <f aca="true" t="shared" si="23" ref="F212:H213">F213</f>
        <v>4898914.91</v>
      </c>
      <c r="G212" s="108">
        <f t="shared" si="23"/>
        <v>2854216.03</v>
      </c>
      <c r="H212" s="108">
        <f t="shared" si="23"/>
        <v>2854216.03</v>
      </c>
      <c r="I212" s="169"/>
      <c r="J212" s="299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1"/>
      <c r="V212" s="301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</row>
    <row r="213" spans="1:32" s="103" customFormat="1" ht="33.75">
      <c r="A213" s="48" t="s">
        <v>323</v>
      </c>
      <c r="B213" s="107" t="s">
        <v>345</v>
      </c>
      <c r="C213" s="107" t="s">
        <v>326</v>
      </c>
      <c r="D213" s="107" t="s">
        <v>324</v>
      </c>
      <c r="E213" s="107"/>
      <c r="F213" s="108">
        <f t="shared" si="23"/>
        <v>4898914.91</v>
      </c>
      <c r="G213" s="108">
        <f t="shared" si="23"/>
        <v>2854216.03</v>
      </c>
      <c r="H213" s="108">
        <f t="shared" si="23"/>
        <v>2854216.03</v>
      </c>
      <c r="I213" s="169"/>
      <c r="J213" s="299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1"/>
      <c r="V213" s="301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</row>
    <row r="214" spans="1:32" s="103" customFormat="1" ht="84.75">
      <c r="A214" s="48" t="s">
        <v>194</v>
      </c>
      <c r="B214" s="107" t="s">
        <v>345</v>
      </c>
      <c r="C214" s="107" t="s">
        <v>326</v>
      </c>
      <c r="D214" s="107" t="s">
        <v>324</v>
      </c>
      <c r="E214" s="107" t="s">
        <v>229</v>
      </c>
      <c r="F214" s="108">
        <f>2854216.03+1308059.52+282229.36+454410</f>
        <v>4898914.91</v>
      </c>
      <c r="G214" s="108">
        <v>2854216.03</v>
      </c>
      <c r="H214" s="108">
        <v>2854216.03</v>
      </c>
      <c r="I214" s="169"/>
      <c r="J214" s="299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1"/>
      <c r="V214" s="301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</row>
    <row r="215" spans="1:8" ht="16.5">
      <c r="A215" s="48" t="s">
        <v>331</v>
      </c>
      <c r="B215" s="107" t="s">
        <v>345</v>
      </c>
      <c r="C215" s="107" t="s">
        <v>326</v>
      </c>
      <c r="D215" s="107" t="s">
        <v>332</v>
      </c>
      <c r="E215" s="107"/>
      <c r="F215" s="108">
        <f>F218+F216</f>
        <v>12434519.78</v>
      </c>
      <c r="G215" s="108">
        <f>G218+G216</f>
        <v>1119300</v>
      </c>
      <c r="H215" s="108">
        <f>H218+H216</f>
        <v>1119300</v>
      </c>
    </row>
    <row r="216" spans="1:8" ht="33.75">
      <c r="A216" s="48" t="s">
        <v>376</v>
      </c>
      <c r="B216" s="107" t="s">
        <v>345</v>
      </c>
      <c r="C216" s="107" t="s">
        <v>326</v>
      </c>
      <c r="D216" s="107" t="s">
        <v>377</v>
      </c>
      <c r="E216" s="107"/>
      <c r="F216" s="108">
        <f>F217</f>
        <v>11241687</v>
      </c>
      <c r="G216" s="108">
        <f>G217</f>
        <v>0</v>
      </c>
      <c r="H216" s="108">
        <f>H217</f>
        <v>0</v>
      </c>
    </row>
    <row r="217" spans="1:8" ht="16.5">
      <c r="A217" s="48" t="s">
        <v>196</v>
      </c>
      <c r="B217" s="107" t="s">
        <v>345</v>
      </c>
      <c r="C217" s="107" t="s">
        <v>326</v>
      </c>
      <c r="D217" s="107" t="s">
        <v>377</v>
      </c>
      <c r="E217" s="107" t="s">
        <v>257</v>
      </c>
      <c r="F217" s="108">
        <f>460919+1062299+767156+8951943-630</f>
        <v>11241687</v>
      </c>
      <c r="G217" s="108"/>
      <c r="H217" s="108"/>
    </row>
    <row r="218" spans="1:8" ht="33.75">
      <c r="A218" s="48" t="s">
        <v>646</v>
      </c>
      <c r="B218" s="107" t="s">
        <v>345</v>
      </c>
      <c r="C218" s="107" t="s">
        <v>326</v>
      </c>
      <c r="D218" s="107" t="s">
        <v>647</v>
      </c>
      <c r="E218" s="107"/>
      <c r="F218" s="108">
        <f>F219+F220</f>
        <v>1192832.78</v>
      </c>
      <c r="G218" s="108">
        <f>G219+G220</f>
        <v>1119300</v>
      </c>
      <c r="H218" s="108">
        <f>H219+H220</f>
        <v>1119300</v>
      </c>
    </row>
    <row r="219" spans="1:26" ht="33.75" hidden="1">
      <c r="A219" s="48" t="s">
        <v>195</v>
      </c>
      <c r="B219" s="107" t="s">
        <v>345</v>
      </c>
      <c r="C219" s="107" t="s">
        <v>326</v>
      </c>
      <c r="D219" s="107" t="s">
        <v>377</v>
      </c>
      <c r="E219" s="107" t="s">
        <v>252</v>
      </c>
      <c r="F219" s="109"/>
      <c r="G219" s="109"/>
      <c r="H219" s="109"/>
      <c r="K219" s="298"/>
      <c r="L219" s="298"/>
      <c r="M219" s="298"/>
      <c r="O219" s="298"/>
      <c r="P219" s="298"/>
      <c r="Q219" s="298"/>
      <c r="S219" s="298"/>
      <c r="V219" s="298"/>
      <c r="Z219" s="298"/>
    </row>
    <row r="220" spans="1:26" ht="16.5">
      <c r="A220" s="48" t="s">
        <v>196</v>
      </c>
      <c r="B220" s="107" t="s">
        <v>345</v>
      </c>
      <c r="C220" s="107" t="s">
        <v>326</v>
      </c>
      <c r="D220" s="107" t="s">
        <v>647</v>
      </c>
      <c r="E220" s="107" t="s">
        <v>257</v>
      </c>
      <c r="F220" s="109">
        <f>1119300+73532.78</f>
        <v>1192832.78</v>
      </c>
      <c r="G220" s="109">
        <v>1119300</v>
      </c>
      <c r="H220" s="109">
        <v>1119300</v>
      </c>
      <c r="K220" s="298"/>
      <c r="L220" s="298"/>
      <c r="M220" s="298"/>
      <c r="O220" s="298"/>
      <c r="P220" s="298"/>
      <c r="Q220" s="298"/>
      <c r="S220" s="298"/>
      <c r="V220" s="298"/>
      <c r="Z220" s="298"/>
    </row>
    <row r="221" spans="1:8" ht="16.5">
      <c r="A221" s="70" t="s">
        <v>380</v>
      </c>
      <c r="B221" s="105" t="s">
        <v>330</v>
      </c>
      <c r="C221" s="105"/>
      <c r="D221" s="105"/>
      <c r="E221" s="115"/>
      <c r="F221" s="111">
        <f>F222</f>
        <v>48815631.09</v>
      </c>
      <c r="G221" s="111">
        <f aca="true" t="shared" si="24" ref="G221:H224">G222</f>
        <v>0</v>
      </c>
      <c r="H221" s="111">
        <f t="shared" si="24"/>
        <v>0</v>
      </c>
    </row>
    <row r="222" spans="1:8" ht="16.5">
      <c r="A222" s="70" t="s">
        <v>381</v>
      </c>
      <c r="B222" s="105" t="s">
        <v>330</v>
      </c>
      <c r="C222" s="105" t="s">
        <v>308</v>
      </c>
      <c r="D222" s="105"/>
      <c r="E222" s="115"/>
      <c r="F222" s="111">
        <f>F223</f>
        <v>48815631.09</v>
      </c>
      <c r="G222" s="111">
        <f t="shared" si="24"/>
        <v>0</v>
      </c>
      <c r="H222" s="111">
        <f t="shared" si="24"/>
        <v>0</v>
      </c>
    </row>
    <row r="223" spans="1:8" ht="16.5">
      <c r="A223" s="70" t="s">
        <v>311</v>
      </c>
      <c r="B223" s="105" t="s">
        <v>330</v>
      </c>
      <c r="C223" s="105" t="s">
        <v>308</v>
      </c>
      <c r="D223" s="116" t="s">
        <v>312</v>
      </c>
      <c r="E223" s="115"/>
      <c r="F223" s="111">
        <f>F224</f>
        <v>48815631.09</v>
      </c>
      <c r="G223" s="111">
        <f t="shared" si="24"/>
        <v>0</v>
      </c>
      <c r="H223" s="111">
        <f t="shared" si="24"/>
        <v>0</v>
      </c>
    </row>
    <row r="224" spans="1:8" ht="16.5">
      <c r="A224" s="48" t="s">
        <v>331</v>
      </c>
      <c r="B224" s="107" t="s">
        <v>330</v>
      </c>
      <c r="C224" s="107" t="s">
        <v>308</v>
      </c>
      <c r="D224" s="107" t="s">
        <v>332</v>
      </c>
      <c r="E224" s="117"/>
      <c r="F224" s="109">
        <f>F225</f>
        <v>48815631.09</v>
      </c>
      <c r="G224" s="109">
        <f t="shared" si="24"/>
        <v>0</v>
      </c>
      <c r="H224" s="109">
        <f t="shared" si="24"/>
        <v>0</v>
      </c>
    </row>
    <row r="225" spans="1:8" ht="16.5">
      <c r="A225" s="48" t="s">
        <v>382</v>
      </c>
      <c r="B225" s="107" t="s">
        <v>330</v>
      </c>
      <c r="C225" s="107" t="s">
        <v>308</v>
      </c>
      <c r="D225" s="107" t="s">
        <v>383</v>
      </c>
      <c r="E225" s="117"/>
      <c r="F225" s="109">
        <f>F228+F226+F227</f>
        <v>48815631.09</v>
      </c>
      <c r="G225" s="109">
        <f>G228+G226+G227</f>
        <v>0</v>
      </c>
      <c r="H225" s="109">
        <f>H228+H226+H227</f>
        <v>0</v>
      </c>
    </row>
    <row r="226" spans="1:8" ht="33.75">
      <c r="A226" s="48" t="s">
        <v>195</v>
      </c>
      <c r="B226" s="107" t="s">
        <v>330</v>
      </c>
      <c r="C226" s="107" t="s">
        <v>308</v>
      </c>
      <c r="D226" s="107" t="s">
        <v>383</v>
      </c>
      <c r="E226" s="117" t="s">
        <v>252</v>
      </c>
      <c r="F226" s="109">
        <f>23168250+14317125.6+2028632.4+7685341.09</f>
        <v>47199349.09</v>
      </c>
      <c r="G226" s="109">
        <v>0</v>
      </c>
      <c r="H226" s="109">
        <v>0</v>
      </c>
    </row>
    <row r="227" spans="1:8" ht="16.5">
      <c r="A227" s="48" t="s">
        <v>196</v>
      </c>
      <c r="B227" s="107" t="s">
        <v>330</v>
      </c>
      <c r="C227" s="107" t="s">
        <v>308</v>
      </c>
      <c r="D227" s="107" t="s">
        <v>383</v>
      </c>
      <c r="E227" s="117" t="s">
        <v>257</v>
      </c>
      <c r="F227" s="109">
        <f>400000+125379-45379+508873</f>
        <v>988873</v>
      </c>
      <c r="G227" s="109">
        <v>0</v>
      </c>
      <c r="H227" s="109">
        <v>0</v>
      </c>
    </row>
    <row r="228" spans="1:8" ht="33.75">
      <c r="A228" s="48" t="s">
        <v>220</v>
      </c>
      <c r="B228" s="107" t="s">
        <v>330</v>
      </c>
      <c r="C228" s="107" t="s">
        <v>308</v>
      </c>
      <c r="D228" s="107" t="s">
        <v>383</v>
      </c>
      <c r="E228" s="117" t="s">
        <v>266</v>
      </c>
      <c r="F228" s="109">
        <f>672181.2-44772.2</f>
        <v>627409</v>
      </c>
      <c r="G228" s="109">
        <v>0</v>
      </c>
      <c r="H228" s="109">
        <v>0</v>
      </c>
    </row>
    <row r="229" spans="1:8" ht="51">
      <c r="A229" s="118" t="s">
        <v>384</v>
      </c>
      <c r="B229" s="116" t="s">
        <v>385</v>
      </c>
      <c r="C229" s="116"/>
      <c r="D229" s="116"/>
      <c r="E229" s="119"/>
      <c r="F229" s="120">
        <f aca="true" t="shared" si="25" ref="F229:H232">F230</f>
        <v>478601816.72</v>
      </c>
      <c r="G229" s="120">
        <f t="shared" si="25"/>
        <v>0</v>
      </c>
      <c r="H229" s="120">
        <f t="shared" si="25"/>
        <v>0</v>
      </c>
    </row>
    <row r="230" spans="1:8" ht="33.75">
      <c r="A230" s="121" t="s">
        <v>386</v>
      </c>
      <c r="B230" s="116" t="s">
        <v>385</v>
      </c>
      <c r="C230" s="116" t="s">
        <v>318</v>
      </c>
      <c r="D230" s="116"/>
      <c r="E230" s="116"/>
      <c r="F230" s="120">
        <f t="shared" si="25"/>
        <v>478601816.72</v>
      </c>
      <c r="G230" s="120">
        <f t="shared" si="25"/>
        <v>0</v>
      </c>
      <c r="H230" s="120">
        <f t="shared" si="25"/>
        <v>0</v>
      </c>
    </row>
    <row r="231" spans="1:8" ht="16.5">
      <c r="A231" s="70" t="s">
        <v>311</v>
      </c>
      <c r="B231" s="116" t="s">
        <v>385</v>
      </c>
      <c r="C231" s="116" t="s">
        <v>318</v>
      </c>
      <c r="D231" s="116" t="s">
        <v>312</v>
      </c>
      <c r="E231" s="116"/>
      <c r="F231" s="120">
        <f t="shared" si="25"/>
        <v>478601816.72</v>
      </c>
      <c r="G231" s="120">
        <f t="shared" si="25"/>
        <v>0</v>
      </c>
      <c r="H231" s="120">
        <f t="shared" si="25"/>
        <v>0</v>
      </c>
    </row>
    <row r="232" spans="1:8" ht="16.5">
      <c r="A232" s="48" t="s">
        <v>387</v>
      </c>
      <c r="B232" s="122" t="s">
        <v>385</v>
      </c>
      <c r="C232" s="122" t="s">
        <v>318</v>
      </c>
      <c r="D232" s="122" t="s">
        <v>388</v>
      </c>
      <c r="E232" s="122"/>
      <c r="F232" s="17">
        <f>F233+F235</f>
        <v>478601816.72</v>
      </c>
      <c r="G232" s="17">
        <f t="shared" si="25"/>
        <v>0</v>
      </c>
      <c r="H232" s="17">
        <f t="shared" si="25"/>
        <v>0</v>
      </c>
    </row>
    <row r="233" spans="1:8" ht="33.75">
      <c r="A233" s="123" t="s">
        <v>389</v>
      </c>
      <c r="B233" s="122" t="s">
        <v>385</v>
      </c>
      <c r="C233" s="122" t="s">
        <v>318</v>
      </c>
      <c r="D233" s="122" t="s">
        <v>390</v>
      </c>
      <c r="E233" s="122"/>
      <c r="F233" s="17">
        <f>F234</f>
        <v>226058000</v>
      </c>
      <c r="G233" s="17">
        <f>G234</f>
        <v>0</v>
      </c>
      <c r="H233" s="17">
        <f>H234</f>
        <v>0</v>
      </c>
    </row>
    <row r="234" spans="1:8" ht="16.5">
      <c r="A234" s="123" t="s">
        <v>387</v>
      </c>
      <c r="B234" s="122" t="s">
        <v>385</v>
      </c>
      <c r="C234" s="122" t="s">
        <v>318</v>
      </c>
      <c r="D234" s="122" t="s">
        <v>390</v>
      </c>
      <c r="E234" s="122" t="s">
        <v>391</v>
      </c>
      <c r="F234" s="17">
        <f>266058000-40000000</f>
        <v>226058000</v>
      </c>
      <c r="G234" s="109">
        <v>0</v>
      </c>
      <c r="H234" s="109">
        <v>0</v>
      </c>
    </row>
    <row r="235" spans="1:8" ht="33.75">
      <c r="A235" s="124" t="s">
        <v>392</v>
      </c>
      <c r="B235" s="122" t="s">
        <v>385</v>
      </c>
      <c r="C235" s="122" t="s">
        <v>318</v>
      </c>
      <c r="D235" s="125">
        <v>9960088520</v>
      </c>
      <c r="E235" s="125"/>
      <c r="F235" s="109">
        <f>F236</f>
        <v>252543816.72</v>
      </c>
      <c r="G235" s="109">
        <f>G236</f>
        <v>0</v>
      </c>
      <c r="H235" s="109">
        <f>H236</f>
        <v>0</v>
      </c>
    </row>
    <row r="236" spans="1:8" ht="16.5">
      <c r="A236" s="123" t="s">
        <v>387</v>
      </c>
      <c r="B236" s="122" t="s">
        <v>385</v>
      </c>
      <c r="C236" s="122" t="s">
        <v>318</v>
      </c>
      <c r="D236" s="125">
        <v>9960088520</v>
      </c>
      <c r="E236" s="125">
        <v>500</v>
      </c>
      <c r="F236" s="109">
        <f>14000000+91062871.73+58078706.61+791472.75+1582150.35+8642390.77+3481059.96+12413400+5098035.97+5621216.4+32894436.44+1840726.14+2561913.2+3233000+5621216.4+5621220</f>
        <v>252543816.72</v>
      </c>
      <c r="G236" s="109">
        <v>0</v>
      </c>
      <c r="H236" s="109">
        <v>0</v>
      </c>
    </row>
  </sheetData>
  <sheetProtection/>
  <mergeCells count="1">
    <mergeCell ref="A9:H9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7"/>
  <sheetViews>
    <sheetView zoomScalePageLayoutView="0" workbookViewId="0" topLeftCell="B1">
      <selection activeCell="I11" sqref="I11"/>
    </sheetView>
  </sheetViews>
  <sheetFormatPr defaultColWidth="9.140625" defaultRowHeight="15"/>
  <cols>
    <col min="1" max="1" width="60.8515625" style="2" customWidth="1"/>
    <col min="2" max="2" width="6.140625" style="126" customWidth="1"/>
    <col min="3" max="3" width="6.00390625" style="126" customWidth="1"/>
    <col min="4" max="4" width="17.421875" style="2" customWidth="1"/>
    <col min="5" max="5" width="8.00390625" style="2" customWidth="1"/>
    <col min="6" max="6" width="19.28125" style="127" customWidth="1"/>
    <col min="7" max="7" width="21.00390625" style="131" customWidth="1"/>
    <col min="8" max="8" width="21.00390625" style="86" customWidth="1"/>
    <col min="9" max="9" width="9.140625" style="1" customWidth="1"/>
    <col min="10" max="10" width="19.140625" style="1" customWidth="1"/>
    <col min="11" max="11" width="18.7109375" style="1" customWidth="1"/>
    <col min="12" max="13" width="20.421875" style="1" customWidth="1"/>
    <col min="14" max="14" width="17.28125" style="1" customWidth="1"/>
    <col min="15" max="16" width="21.421875" style="1" customWidth="1"/>
    <col min="17" max="16384" width="9.140625" style="1" customWidth="1"/>
  </cols>
  <sheetData>
    <row r="1" spans="7:8" ht="15">
      <c r="G1" s="127"/>
      <c r="H1" s="127"/>
    </row>
    <row r="2" spans="4:8" ht="18">
      <c r="D2" s="128"/>
      <c r="G2" s="129" t="s">
        <v>638</v>
      </c>
      <c r="H2" s="127"/>
    </row>
    <row r="3" spans="4:8" ht="18">
      <c r="D3" s="128"/>
      <c r="G3" s="129" t="s">
        <v>303</v>
      </c>
      <c r="H3" s="127"/>
    </row>
    <row r="4" spans="4:8" ht="18">
      <c r="D4" s="128"/>
      <c r="G4" s="129" t="s">
        <v>18</v>
      </c>
      <c r="H4" s="127"/>
    </row>
    <row r="5" spans="4:8" ht="18">
      <c r="D5" s="128"/>
      <c r="G5" s="129" t="s">
        <v>19</v>
      </c>
      <c r="H5" s="127"/>
    </row>
    <row r="6" spans="4:8" ht="18">
      <c r="D6" s="128"/>
      <c r="G6" s="129" t="s">
        <v>20</v>
      </c>
      <c r="H6" s="127"/>
    </row>
    <row r="7" spans="4:8" ht="18">
      <c r="D7" s="128"/>
      <c r="G7" s="129" t="s">
        <v>781</v>
      </c>
      <c r="H7" s="127"/>
    </row>
    <row r="8" spans="4:8" ht="18">
      <c r="D8" s="128"/>
      <c r="G8" s="129" t="s">
        <v>782</v>
      </c>
      <c r="H8" s="127"/>
    </row>
    <row r="9" spans="7:8" ht="15">
      <c r="G9" s="127"/>
      <c r="H9" s="127"/>
    </row>
    <row r="11" spans="1:14" ht="59.25" customHeight="1">
      <c r="A11" s="368" t="s">
        <v>427</v>
      </c>
      <c r="B11" s="368"/>
      <c r="C11" s="368"/>
      <c r="D11" s="368"/>
      <c r="E11" s="368"/>
      <c r="F11" s="368"/>
      <c r="G11" s="368"/>
      <c r="H11" s="368"/>
      <c r="M11" s="27"/>
      <c r="N11" s="27"/>
    </row>
    <row r="13" spans="6:8" ht="15.75">
      <c r="F13" s="130"/>
      <c r="H13" s="130" t="s">
        <v>186</v>
      </c>
    </row>
    <row r="14" spans="1:8" s="85" customFormat="1" ht="16.5">
      <c r="A14" s="31" t="s">
        <v>22</v>
      </c>
      <c r="B14" s="132" t="s">
        <v>304</v>
      </c>
      <c r="C14" s="132" t="s">
        <v>305</v>
      </c>
      <c r="D14" s="31" t="s">
        <v>187</v>
      </c>
      <c r="E14" s="31" t="s">
        <v>188</v>
      </c>
      <c r="F14" s="99" t="s">
        <v>23</v>
      </c>
      <c r="G14" s="99" t="s">
        <v>24</v>
      </c>
      <c r="H14" s="99" t="s">
        <v>174</v>
      </c>
    </row>
    <row r="15" spans="1:16" s="83" customFormat="1" ht="16.5">
      <c r="A15" s="133" t="s">
        <v>189</v>
      </c>
      <c r="B15" s="134"/>
      <c r="C15" s="134"/>
      <c r="D15" s="34"/>
      <c r="E15" s="34"/>
      <c r="F15" s="135">
        <f>F16+F85+F94+F146+F155+F234+F266+F274+F332+F353+F136+F80</f>
        <v>3465357117.58</v>
      </c>
      <c r="G15" s="135">
        <f>G16+G85+G94+G146+G155+G234+G266+G274+G332+G353+G136+G80</f>
        <v>2215550585.6499996</v>
      </c>
      <c r="H15" s="135">
        <f>H16+H85+H94+H146+H155+H234+H266+H274+H332+H353+H136+H80</f>
        <v>2219734655.37</v>
      </c>
      <c r="J15" s="84"/>
      <c r="K15" s="84"/>
      <c r="L15" s="84"/>
      <c r="M15" s="84"/>
      <c r="N15" s="84"/>
      <c r="O15" s="84"/>
      <c r="P15" s="84"/>
    </row>
    <row r="16" spans="1:13" ht="16.5">
      <c r="A16" s="70" t="s">
        <v>307</v>
      </c>
      <c r="B16" s="105" t="s">
        <v>308</v>
      </c>
      <c r="C16" s="105"/>
      <c r="D16" s="105"/>
      <c r="E16" s="105"/>
      <c r="F16" s="106">
        <f>F17+F21+F27+F34+F45+F49+F41</f>
        <v>779846120.53</v>
      </c>
      <c r="G16" s="106">
        <f>G17+G21+G27+G34+G45+G49+G41</f>
        <v>616264674.5699999</v>
      </c>
      <c r="H16" s="106">
        <f>H17+H21+H27+H34+H45+H49+H41</f>
        <v>616264674.5699999</v>
      </c>
      <c r="M16" s="27"/>
    </row>
    <row r="17" spans="1:8" ht="51">
      <c r="A17" s="70" t="s">
        <v>309</v>
      </c>
      <c r="B17" s="105" t="s">
        <v>308</v>
      </c>
      <c r="C17" s="105" t="s">
        <v>310</v>
      </c>
      <c r="D17" s="105"/>
      <c r="E17" s="105"/>
      <c r="F17" s="106">
        <f aca="true" t="shared" si="0" ref="F17:H19">F18</f>
        <v>8175148.1</v>
      </c>
      <c r="G17" s="106">
        <f t="shared" si="0"/>
        <v>7119360</v>
      </c>
      <c r="H17" s="106">
        <f t="shared" si="0"/>
        <v>7119360</v>
      </c>
    </row>
    <row r="18" spans="1:8" s="136" customFormat="1" ht="16.5">
      <c r="A18" s="70" t="s">
        <v>311</v>
      </c>
      <c r="B18" s="105" t="s">
        <v>308</v>
      </c>
      <c r="C18" s="105" t="s">
        <v>310</v>
      </c>
      <c r="D18" s="105" t="s">
        <v>312</v>
      </c>
      <c r="E18" s="105"/>
      <c r="F18" s="106">
        <f t="shared" si="0"/>
        <v>8175148.1</v>
      </c>
      <c r="G18" s="106">
        <f t="shared" si="0"/>
        <v>7119360</v>
      </c>
      <c r="H18" s="106">
        <f t="shared" si="0"/>
        <v>7119360</v>
      </c>
    </row>
    <row r="19" spans="1:8" ht="33.75">
      <c r="A19" s="48" t="s">
        <v>313</v>
      </c>
      <c r="B19" s="107" t="s">
        <v>308</v>
      </c>
      <c r="C19" s="107" t="s">
        <v>310</v>
      </c>
      <c r="D19" s="107" t="s">
        <v>314</v>
      </c>
      <c r="E19" s="107"/>
      <c r="F19" s="108">
        <f t="shared" si="0"/>
        <v>8175148.1</v>
      </c>
      <c r="G19" s="108">
        <f t="shared" si="0"/>
        <v>7119360</v>
      </c>
      <c r="H19" s="108">
        <f t="shared" si="0"/>
        <v>7119360</v>
      </c>
    </row>
    <row r="20" spans="1:8" ht="67.5">
      <c r="A20" s="48" t="s">
        <v>194</v>
      </c>
      <c r="B20" s="107" t="s">
        <v>308</v>
      </c>
      <c r="C20" s="107" t="s">
        <v>310</v>
      </c>
      <c r="D20" s="107" t="s">
        <v>314</v>
      </c>
      <c r="E20" s="107" t="s">
        <v>229</v>
      </c>
      <c r="F20" s="137">
        <f>'Приложение 3'!F19</f>
        <v>8175148.1</v>
      </c>
      <c r="G20" s="137">
        <f>'Приложение 3'!G19</f>
        <v>7119360</v>
      </c>
      <c r="H20" s="137">
        <f>'Приложение 3'!H19</f>
        <v>7119360</v>
      </c>
    </row>
    <row r="21" spans="1:8" s="136" customFormat="1" ht="51">
      <c r="A21" s="70" t="s">
        <v>317</v>
      </c>
      <c r="B21" s="105" t="s">
        <v>308</v>
      </c>
      <c r="C21" s="105" t="s">
        <v>318</v>
      </c>
      <c r="D21" s="105"/>
      <c r="E21" s="105"/>
      <c r="F21" s="106">
        <f aca="true" t="shared" si="1" ref="F21:H22">F22</f>
        <v>3747101.33</v>
      </c>
      <c r="G21" s="106">
        <f t="shared" si="1"/>
        <v>3952396.66</v>
      </c>
      <c r="H21" s="106">
        <f t="shared" si="1"/>
        <v>3952396.66</v>
      </c>
    </row>
    <row r="22" spans="1:8" ht="16.5">
      <c r="A22" s="70" t="s">
        <v>311</v>
      </c>
      <c r="B22" s="105" t="s">
        <v>308</v>
      </c>
      <c r="C22" s="105" t="s">
        <v>318</v>
      </c>
      <c r="D22" s="105" t="s">
        <v>312</v>
      </c>
      <c r="E22" s="105"/>
      <c r="F22" s="106">
        <f t="shared" si="1"/>
        <v>3747101.33</v>
      </c>
      <c r="G22" s="106">
        <f t="shared" si="1"/>
        <v>3952396.66</v>
      </c>
      <c r="H22" s="106">
        <f t="shared" si="1"/>
        <v>3952396.66</v>
      </c>
    </row>
    <row r="23" spans="1:8" ht="33.75">
      <c r="A23" s="48" t="s">
        <v>313</v>
      </c>
      <c r="B23" s="107" t="s">
        <v>308</v>
      </c>
      <c r="C23" s="107" t="s">
        <v>318</v>
      </c>
      <c r="D23" s="107" t="s">
        <v>314</v>
      </c>
      <c r="E23" s="107"/>
      <c r="F23" s="108">
        <f>F24+F25+F26</f>
        <v>3747101.33</v>
      </c>
      <c r="G23" s="108">
        <f>G24+G25+G26</f>
        <v>3952396.66</v>
      </c>
      <c r="H23" s="108">
        <f>H24+H25+H26</f>
        <v>3952396.66</v>
      </c>
    </row>
    <row r="24" spans="1:8" ht="67.5">
      <c r="A24" s="48" t="s">
        <v>194</v>
      </c>
      <c r="B24" s="107" t="s">
        <v>308</v>
      </c>
      <c r="C24" s="107" t="s">
        <v>318</v>
      </c>
      <c r="D24" s="107" t="s">
        <v>314</v>
      </c>
      <c r="E24" s="107" t="s">
        <v>229</v>
      </c>
      <c r="F24" s="108">
        <f>'Приложение 3'!F24</f>
        <v>537510.66</v>
      </c>
      <c r="G24" s="108">
        <f>'Приложение 3'!G24</f>
        <v>574034.66</v>
      </c>
      <c r="H24" s="108">
        <f>'Приложение 3'!H24</f>
        <v>574034.66</v>
      </c>
    </row>
    <row r="25" spans="1:8" ht="33.75">
      <c r="A25" s="48" t="s">
        <v>195</v>
      </c>
      <c r="B25" s="107" t="s">
        <v>308</v>
      </c>
      <c r="C25" s="107" t="s">
        <v>318</v>
      </c>
      <c r="D25" s="107" t="s">
        <v>314</v>
      </c>
      <c r="E25" s="107" t="s">
        <v>252</v>
      </c>
      <c r="F25" s="108">
        <f>'Приложение 3'!F25</f>
        <v>3189590.67</v>
      </c>
      <c r="G25" s="108">
        <f>'Приложение 3'!G25</f>
        <v>3358362</v>
      </c>
      <c r="H25" s="108">
        <f>'Приложение 3'!H25</f>
        <v>3358362</v>
      </c>
    </row>
    <row r="26" spans="1:8" ht="16.5">
      <c r="A26" s="48" t="s">
        <v>197</v>
      </c>
      <c r="B26" s="107" t="s">
        <v>308</v>
      </c>
      <c r="C26" s="107" t="s">
        <v>318</v>
      </c>
      <c r="D26" s="107" t="s">
        <v>314</v>
      </c>
      <c r="E26" s="107" t="s">
        <v>231</v>
      </c>
      <c r="F26" s="108">
        <f>'Приложение 3'!F26</f>
        <v>20000</v>
      </c>
      <c r="G26" s="108">
        <f>'Приложение 3'!G26</f>
        <v>20000</v>
      </c>
      <c r="H26" s="108">
        <f>'Приложение 3'!H26</f>
        <v>20000</v>
      </c>
    </row>
    <row r="27" spans="1:8" ht="67.5">
      <c r="A27" s="110" t="s">
        <v>321</v>
      </c>
      <c r="B27" s="105" t="s">
        <v>308</v>
      </c>
      <c r="C27" s="105" t="s">
        <v>322</v>
      </c>
      <c r="D27" s="105"/>
      <c r="E27" s="105"/>
      <c r="F27" s="106">
        <f aca="true" t="shared" si="2" ref="F27:H28">F28</f>
        <v>72640908.35</v>
      </c>
      <c r="G27" s="106">
        <f t="shared" si="2"/>
        <v>63299903.52</v>
      </c>
      <c r="H27" s="106">
        <f t="shared" si="2"/>
        <v>63299903.52</v>
      </c>
    </row>
    <row r="28" spans="1:8" ht="16.5">
      <c r="A28" s="70" t="s">
        <v>311</v>
      </c>
      <c r="B28" s="105" t="s">
        <v>308</v>
      </c>
      <c r="C28" s="105" t="s">
        <v>322</v>
      </c>
      <c r="D28" s="105" t="s">
        <v>312</v>
      </c>
      <c r="E28" s="105"/>
      <c r="F28" s="106">
        <f t="shared" si="2"/>
        <v>72640908.35</v>
      </c>
      <c r="G28" s="106">
        <f t="shared" si="2"/>
        <v>63299903.52</v>
      </c>
      <c r="H28" s="106">
        <f t="shared" si="2"/>
        <v>63299903.52</v>
      </c>
    </row>
    <row r="29" spans="1:8" ht="33.75">
      <c r="A29" s="48" t="s">
        <v>313</v>
      </c>
      <c r="B29" s="107" t="s">
        <v>308</v>
      </c>
      <c r="C29" s="107" t="s">
        <v>322</v>
      </c>
      <c r="D29" s="107" t="s">
        <v>314</v>
      </c>
      <c r="E29" s="107"/>
      <c r="F29" s="108">
        <f>SUM(F30:F33)</f>
        <v>72640908.35</v>
      </c>
      <c r="G29" s="108">
        <f>SUM(G30:G33)</f>
        <v>63299903.52</v>
      </c>
      <c r="H29" s="108">
        <f>SUM(H30:H33)</f>
        <v>63299903.52</v>
      </c>
    </row>
    <row r="30" spans="1:8" ht="67.5">
      <c r="A30" s="48" t="s">
        <v>194</v>
      </c>
      <c r="B30" s="107" t="s">
        <v>308</v>
      </c>
      <c r="C30" s="107" t="s">
        <v>322</v>
      </c>
      <c r="D30" s="107" t="s">
        <v>314</v>
      </c>
      <c r="E30" s="107" t="s">
        <v>229</v>
      </c>
      <c r="F30" s="108">
        <f>'Приложение 3'!F31</f>
        <v>67679577.14</v>
      </c>
      <c r="G30" s="108">
        <f>'Приложение 3'!G31</f>
        <v>56947557.52</v>
      </c>
      <c r="H30" s="108">
        <f>'Приложение 3'!H31</f>
        <v>56947557.52</v>
      </c>
    </row>
    <row r="31" spans="1:8" s="136" customFormat="1" ht="33.75">
      <c r="A31" s="48" t="s">
        <v>195</v>
      </c>
      <c r="B31" s="107" t="s">
        <v>308</v>
      </c>
      <c r="C31" s="107" t="s">
        <v>322</v>
      </c>
      <c r="D31" s="107" t="s">
        <v>314</v>
      </c>
      <c r="E31" s="107" t="s">
        <v>252</v>
      </c>
      <c r="F31" s="108">
        <f>'Приложение 3'!F32</f>
        <v>4700464.64</v>
      </c>
      <c r="G31" s="108">
        <f>'Приложение 3'!G32</f>
        <v>6198730</v>
      </c>
      <c r="H31" s="108">
        <f>'Приложение 3'!H32</f>
        <v>6198730</v>
      </c>
    </row>
    <row r="32" spans="1:8" s="136" customFormat="1" ht="16.5">
      <c r="A32" s="48" t="s">
        <v>196</v>
      </c>
      <c r="B32" s="107" t="s">
        <v>308</v>
      </c>
      <c r="C32" s="107" t="s">
        <v>322</v>
      </c>
      <c r="D32" s="107" t="s">
        <v>314</v>
      </c>
      <c r="E32" s="107" t="s">
        <v>257</v>
      </c>
      <c r="F32" s="108">
        <f>'Приложение 3'!F33</f>
        <v>107250.57</v>
      </c>
      <c r="G32" s="108">
        <f>'Приложение 3'!G33</f>
        <v>0</v>
      </c>
      <c r="H32" s="108">
        <f>'Приложение 3'!H33</f>
        <v>0</v>
      </c>
    </row>
    <row r="33" spans="1:8" s="136" customFormat="1" ht="16.5">
      <c r="A33" s="48" t="s">
        <v>197</v>
      </c>
      <c r="B33" s="107" t="s">
        <v>308</v>
      </c>
      <c r="C33" s="107" t="s">
        <v>322</v>
      </c>
      <c r="D33" s="107" t="s">
        <v>314</v>
      </c>
      <c r="E33" s="107" t="s">
        <v>231</v>
      </c>
      <c r="F33" s="108">
        <f>'Приложение 3'!F34</f>
        <v>153616</v>
      </c>
      <c r="G33" s="108">
        <f>'Приложение 3'!G34</f>
        <v>153616</v>
      </c>
      <c r="H33" s="108">
        <f>'Приложение 3'!H34</f>
        <v>153616</v>
      </c>
    </row>
    <row r="34" spans="1:8" ht="51">
      <c r="A34" s="70" t="s">
        <v>325</v>
      </c>
      <c r="B34" s="105" t="s">
        <v>308</v>
      </c>
      <c r="C34" s="105" t="s">
        <v>326</v>
      </c>
      <c r="D34" s="105"/>
      <c r="E34" s="105"/>
      <c r="F34" s="106">
        <f aca="true" t="shared" si="3" ref="F34:H35">F35</f>
        <v>46506532.81</v>
      </c>
      <c r="G34" s="106">
        <f t="shared" si="3"/>
        <v>39410172.07</v>
      </c>
      <c r="H34" s="106">
        <f t="shared" si="3"/>
        <v>39410172.07</v>
      </c>
    </row>
    <row r="35" spans="1:8" ht="16.5">
      <c r="A35" s="70" t="s">
        <v>311</v>
      </c>
      <c r="B35" s="105" t="s">
        <v>308</v>
      </c>
      <c r="C35" s="105" t="s">
        <v>326</v>
      </c>
      <c r="D35" s="105" t="s">
        <v>312</v>
      </c>
      <c r="E35" s="105"/>
      <c r="F35" s="106">
        <f t="shared" si="3"/>
        <v>46506532.81</v>
      </c>
      <c r="G35" s="106">
        <f t="shared" si="3"/>
        <v>39410172.07</v>
      </c>
      <c r="H35" s="106">
        <f t="shared" si="3"/>
        <v>39410172.07</v>
      </c>
    </row>
    <row r="36" spans="1:8" ht="33.75">
      <c r="A36" s="48" t="s">
        <v>313</v>
      </c>
      <c r="B36" s="107" t="s">
        <v>308</v>
      </c>
      <c r="C36" s="107" t="s">
        <v>326</v>
      </c>
      <c r="D36" s="107" t="s">
        <v>314</v>
      </c>
      <c r="E36" s="107"/>
      <c r="F36" s="108">
        <f>SUM(F37:F40)</f>
        <v>46506532.81</v>
      </c>
      <c r="G36" s="108">
        <f>SUM(G37:G40)</f>
        <v>39410172.07</v>
      </c>
      <c r="H36" s="108">
        <f>SUM(H37:H40)</f>
        <v>39410172.07</v>
      </c>
    </row>
    <row r="37" spans="1:8" ht="67.5">
      <c r="A37" s="48" t="s">
        <v>194</v>
      </c>
      <c r="B37" s="107" t="s">
        <v>308</v>
      </c>
      <c r="C37" s="107" t="s">
        <v>326</v>
      </c>
      <c r="D37" s="107" t="s">
        <v>314</v>
      </c>
      <c r="E37" s="107" t="s">
        <v>229</v>
      </c>
      <c r="F37" s="108">
        <f>'Приложение 3'!F39+'Приложение 3'!F41+'Приложение 3'!F45</f>
        <v>43637155.72</v>
      </c>
      <c r="G37" s="108">
        <f>'Приложение 3'!G39+'Приложение 3'!G41+'Приложение 3'!G45</f>
        <v>36089672.07</v>
      </c>
      <c r="H37" s="108">
        <f>'Приложение 3'!H39+'Приложение 3'!H41+'Приложение 3'!H45</f>
        <v>36089672.07</v>
      </c>
    </row>
    <row r="38" spans="1:8" ht="33.75">
      <c r="A38" s="48" t="s">
        <v>195</v>
      </c>
      <c r="B38" s="107" t="s">
        <v>308</v>
      </c>
      <c r="C38" s="107" t="s">
        <v>326</v>
      </c>
      <c r="D38" s="107" t="s">
        <v>314</v>
      </c>
      <c r="E38" s="107" t="s">
        <v>252</v>
      </c>
      <c r="F38" s="108">
        <f>'Приложение 3'!F42+'Приложение 3'!F46</f>
        <v>2869359</v>
      </c>
      <c r="G38" s="108">
        <f>'Приложение 3'!G42+'Приложение 3'!G46</f>
        <v>3320500</v>
      </c>
      <c r="H38" s="108">
        <f>'Приложение 3'!H42+'Приложение 3'!H46</f>
        <v>3320500</v>
      </c>
    </row>
    <row r="39" spans="1:8" ht="16.5">
      <c r="A39" s="48" t="s">
        <v>196</v>
      </c>
      <c r="B39" s="107" t="s">
        <v>308</v>
      </c>
      <c r="C39" s="107" t="s">
        <v>326</v>
      </c>
      <c r="D39" s="107" t="s">
        <v>314</v>
      </c>
      <c r="E39" s="107" t="s">
        <v>257</v>
      </c>
      <c r="F39" s="108">
        <f>'Приложение 3'!F43</f>
        <v>0</v>
      </c>
      <c r="G39" s="108">
        <f>'Приложение 3'!G43</f>
        <v>0</v>
      </c>
      <c r="H39" s="108">
        <f>'Приложение 3'!H43</f>
        <v>0</v>
      </c>
    </row>
    <row r="40" spans="1:8" ht="16.5">
      <c r="A40" s="48" t="s">
        <v>197</v>
      </c>
      <c r="B40" s="107" t="s">
        <v>308</v>
      </c>
      <c r="C40" s="107" t="s">
        <v>326</v>
      </c>
      <c r="D40" s="107" t="s">
        <v>314</v>
      </c>
      <c r="E40" s="107" t="s">
        <v>231</v>
      </c>
      <c r="F40" s="108">
        <f>'Приложение 3'!F47</f>
        <v>18.09</v>
      </c>
      <c r="G40" s="108">
        <f>'Приложение 3'!G47</f>
        <v>0</v>
      </c>
      <c r="H40" s="108">
        <f>'Приложение 3'!H47</f>
        <v>0</v>
      </c>
    </row>
    <row r="41" spans="1:8" s="37" customFormat="1" ht="16.5">
      <c r="A41" s="70" t="s">
        <v>400</v>
      </c>
      <c r="B41" s="105" t="s">
        <v>308</v>
      </c>
      <c r="C41" s="105" t="s">
        <v>362</v>
      </c>
      <c r="D41" s="105"/>
      <c r="E41" s="105"/>
      <c r="F41" s="106">
        <f>F42</f>
        <v>6970452</v>
      </c>
      <c r="G41" s="106">
        <f aca="true" t="shared" si="4" ref="G41:H43">G42</f>
        <v>0</v>
      </c>
      <c r="H41" s="106">
        <f t="shared" si="4"/>
        <v>0</v>
      </c>
    </row>
    <row r="42" spans="1:8" s="37" customFormat="1" ht="16.5">
      <c r="A42" s="70" t="s">
        <v>311</v>
      </c>
      <c r="B42" s="105" t="s">
        <v>308</v>
      </c>
      <c r="C42" s="105" t="s">
        <v>362</v>
      </c>
      <c r="D42" s="105" t="s">
        <v>312</v>
      </c>
      <c r="E42" s="105"/>
      <c r="F42" s="106">
        <f>F43</f>
        <v>6970452</v>
      </c>
      <c r="G42" s="106">
        <f t="shared" si="4"/>
        <v>0</v>
      </c>
      <c r="H42" s="106">
        <f t="shared" si="4"/>
        <v>0</v>
      </c>
    </row>
    <row r="43" spans="1:8" ht="16.5">
      <c r="A43" s="48" t="s">
        <v>399</v>
      </c>
      <c r="B43" s="107" t="s">
        <v>308</v>
      </c>
      <c r="C43" s="107" t="s">
        <v>362</v>
      </c>
      <c r="D43" s="107" t="s">
        <v>398</v>
      </c>
      <c r="E43" s="107"/>
      <c r="F43" s="108">
        <f>F44</f>
        <v>6970452</v>
      </c>
      <c r="G43" s="108">
        <f t="shared" si="4"/>
        <v>0</v>
      </c>
      <c r="H43" s="108">
        <f t="shared" si="4"/>
        <v>0</v>
      </c>
    </row>
    <row r="44" spans="1:8" ht="16.5">
      <c r="A44" s="48" t="s">
        <v>197</v>
      </c>
      <c r="B44" s="107" t="s">
        <v>308</v>
      </c>
      <c r="C44" s="107" t="s">
        <v>362</v>
      </c>
      <c r="D44" s="107" t="s">
        <v>398</v>
      </c>
      <c r="E44" s="107" t="s">
        <v>231</v>
      </c>
      <c r="F44" s="108">
        <f>'Приложение 3'!F52</f>
        <v>6970452</v>
      </c>
      <c r="G44" s="108">
        <f>'Приложение 3'!G52</f>
        <v>0</v>
      </c>
      <c r="H44" s="108">
        <f>'Приложение 3'!H52</f>
        <v>0</v>
      </c>
    </row>
    <row r="45" spans="1:8" ht="16.5">
      <c r="A45" s="70" t="s">
        <v>329</v>
      </c>
      <c r="B45" s="105" t="s">
        <v>308</v>
      </c>
      <c r="C45" s="105" t="s">
        <v>330</v>
      </c>
      <c r="D45" s="105"/>
      <c r="E45" s="105"/>
      <c r="F45" s="106">
        <f aca="true" t="shared" si="5" ref="F45:H47">F46</f>
        <v>5802529.829999991</v>
      </c>
      <c r="G45" s="106">
        <f t="shared" si="5"/>
        <v>30000000</v>
      </c>
      <c r="H45" s="106">
        <f t="shared" si="5"/>
        <v>30000000</v>
      </c>
    </row>
    <row r="46" spans="1:8" ht="16.5">
      <c r="A46" s="70" t="s">
        <v>311</v>
      </c>
      <c r="B46" s="105" t="s">
        <v>308</v>
      </c>
      <c r="C46" s="105" t="s">
        <v>330</v>
      </c>
      <c r="D46" s="105" t="s">
        <v>312</v>
      </c>
      <c r="E46" s="105"/>
      <c r="F46" s="106">
        <f t="shared" si="5"/>
        <v>5802529.829999991</v>
      </c>
      <c r="G46" s="106">
        <f t="shared" si="5"/>
        <v>30000000</v>
      </c>
      <c r="H46" s="106">
        <f t="shared" si="5"/>
        <v>30000000</v>
      </c>
    </row>
    <row r="47" spans="1:8" ht="16.5">
      <c r="A47" s="48" t="s">
        <v>401</v>
      </c>
      <c r="B47" s="107" t="s">
        <v>308</v>
      </c>
      <c r="C47" s="107" t="s">
        <v>330</v>
      </c>
      <c r="D47" s="107" t="s">
        <v>332</v>
      </c>
      <c r="E47" s="107"/>
      <c r="F47" s="108">
        <f t="shared" si="5"/>
        <v>5802529.829999991</v>
      </c>
      <c r="G47" s="108">
        <f t="shared" si="5"/>
        <v>30000000</v>
      </c>
      <c r="H47" s="108">
        <f t="shared" si="5"/>
        <v>30000000</v>
      </c>
    </row>
    <row r="48" spans="1:8" ht="16.5">
      <c r="A48" s="48" t="s">
        <v>197</v>
      </c>
      <c r="B48" s="107" t="s">
        <v>308</v>
      </c>
      <c r="C48" s="107" t="s">
        <v>330</v>
      </c>
      <c r="D48" s="107" t="s">
        <v>332</v>
      </c>
      <c r="E48" s="107" t="s">
        <v>231</v>
      </c>
      <c r="F48" s="108">
        <f>'Приложение 3'!F57</f>
        <v>5802529.829999991</v>
      </c>
      <c r="G48" s="108">
        <f>'Приложение 3'!G57</f>
        <v>30000000</v>
      </c>
      <c r="H48" s="108">
        <f>'Приложение 3'!H57</f>
        <v>30000000</v>
      </c>
    </row>
    <row r="49" spans="1:8" s="37" customFormat="1" ht="16.5">
      <c r="A49" s="70" t="s">
        <v>335</v>
      </c>
      <c r="B49" s="105" t="s">
        <v>308</v>
      </c>
      <c r="C49" s="105" t="s">
        <v>336</v>
      </c>
      <c r="D49" s="105"/>
      <c r="E49" s="105"/>
      <c r="F49" s="106">
        <f>F50+F54+F68</f>
        <v>636003448.11</v>
      </c>
      <c r="G49" s="106">
        <f>G50+G54+G68</f>
        <v>472482842.32</v>
      </c>
      <c r="H49" s="106">
        <f>H50+H54+H68</f>
        <v>472482842.32</v>
      </c>
    </row>
    <row r="50" spans="1:8" ht="51">
      <c r="A50" s="70" t="s">
        <v>260</v>
      </c>
      <c r="B50" s="105" t="s">
        <v>308</v>
      </c>
      <c r="C50" s="105" t="s">
        <v>336</v>
      </c>
      <c r="D50" s="105" t="s">
        <v>261</v>
      </c>
      <c r="E50" s="105"/>
      <c r="F50" s="106">
        <f>F51</f>
        <v>10018138.44</v>
      </c>
      <c r="G50" s="106">
        <f>G51</f>
        <v>9735155</v>
      </c>
      <c r="H50" s="106">
        <f>H51</f>
        <v>9735155</v>
      </c>
    </row>
    <row r="51" spans="1:8" ht="16.5">
      <c r="A51" s="48" t="s">
        <v>262</v>
      </c>
      <c r="B51" s="107" t="s">
        <v>308</v>
      </c>
      <c r="C51" s="107" t="s">
        <v>336</v>
      </c>
      <c r="D51" s="107" t="s">
        <v>263</v>
      </c>
      <c r="E51" s="107"/>
      <c r="F51" s="108">
        <f>F52+F53</f>
        <v>10018138.44</v>
      </c>
      <c r="G51" s="108">
        <f>G52+G53</f>
        <v>9735155</v>
      </c>
      <c r="H51" s="108">
        <f>H52+H53</f>
        <v>9735155</v>
      </c>
    </row>
    <row r="52" spans="1:8" ht="33.75">
      <c r="A52" s="48" t="s">
        <v>195</v>
      </c>
      <c r="B52" s="107" t="s">
        <v>308</v>
      </c>
      <c r="C52" s="107" t="s">
        <v>336</v>
      </c>
      <c r="D52" s="107" t="s">
        <v>263</v>
      </c>
      <c r="E52" s="107" t="s">
        <v>252</v>
      </c>
      <c r="F52" s="108">
        <f>'Приложение 2'!D127</f>
        <v>6218138.4399999995</v>
      </c>
      <c r="G52" s="108">
        <f>'Приложение 2'!E127</f>
        <v>9735155</v>
      </c>
      <c r="H52" s="108">
        <f>'Приложение 2'!F127</f>
        <v>9735155</v>
      </c>
    </row>
    <row r="53" spans="1:8" ht="33.75">
      <c r="A53" s="48" t="s">
        <v>272</v>
      </c>
      <c r="B53" s="107" t="s">
        <v>308</v>
      </c>
      <c r="C53" s="107" t="s">
        <v>336</v>
      </c>
      <c r="D53" s="107" t="s">
        <v>263</v>
      </c>
      <c r="E53" s="107" t="s">
        <v>266</v>
      </c>
      <c r="F53" s="108">
        <f>'Приложение 2'!D128</f>
        <v>3800000</v>
      </c>
      <c r="G53" s="108">
        <f>'Приложение 2'!E128</f>
        <v>0</v>
      </c>
      <c r="H53" s="108">
        <f>'Приложение 2'!F128</f>
        <v>0</v>
      </c>
    </row>
    <row r="54" spans="1:8" ht="33.75">
      <c r="A54" s="70" t="s">
        <v>267</v>
      </c>
      <c r="B54" s="105" t="s">
        <v>308</v>
      </c>
      <c r="C54" s="105" t="s">
        <v>336</v>
      </c>
      <c r="D54" s="105" t="s">
        <v>268</v>
      </c>
      <c r="E54" s="105"/>
      <c r="F54" s="106">
        <f>F55+F60+F64</f>
        <v>78701618.81</v>
      </c>
      <c r="G54" s="106">
        <f>G55+G60+G64</f>
        <v>49068592.46</v>
      </c>
      <c r="H54" s="106">
        <f>H55+H60+H64</f>
        <v>49068592.46</v>
      </c>
    </row>
    <row r="55" spans="1:13" ht="16.5">
      <c r="A55" s="48" t="s">
        <v>192</v>
      </c>
      <c r="B55" s="107" t="s">
        <v>308</v>
      </c>
      <c r="C55" s="107" t="s">
        <v>336</v>
      </c>
      <c r="D55" s="107" t="s">
        <v>269</v>
      </c>
      <c r="E55" s="107"/>
      <c r="F55" s="108">
        <f>SUM(F56:F59)</f>
        <v>33796188.23</v>
      </c>
      <c r="G55" s="108">
        <f>SUM(G56:G59)</f>
        <v>33419089.29</v>
      </c>
      <c r="H55" s="108">
        <f>SUM(H56:H59)</f>
        <v>33419089.29</v>
      </c>
      <c r="M55" s="27"/>
    </row>
    <row r="56" spans="1:8" ht="67.5">
      <c r="A56" s="48" t="s">
        <v>194</v>
      </c>
      <c r="B56" s="107" t="s">
        <v>308</v>
      </c>
      <c r="C56" s="107" t="s">
        <v>336</v>
      </c>
      <c r="D56" s="107" t="s">
        <v>269</v>
      </c>
      <c r="E56" s="107" t="s">
        <v>229</v>
      </c>
      <c r="F56" s="108">
        <f>'Приложение 2'!D134</f>
        <v>31305894.72</v>
      </c>
      <c r="G56" s="108">
        <f>'Приложение 2'!E134</f>
        <v>30799509</v>
      </c>
      <c r="H56" s="108">
        <f>'Приложение 2'!F134</f>
        <v>30799509</v>
      </c>
    </row>
    <row r="57" spans="1:8" ht="33.75">
      <c r="A57" s="48" t="s">
        <v>195</v>
      </c>
      <c r="B57" s="107" t="s">
        <v>308</v>
      </c>
      <c r="C57" s="107" t="s">
        <v>336</v>
      </c>
      <c r="D57" s="107" t="s">
        <v>269</v>
      </c>
      <c r="E57" s="107" t="s">
        <v>252</v>
      </c>
      <c r="F57" s="108">
        <f>'Приложение 2'!D135</f>
        <v>2461952.83</v>
      </c>
      <c r="G57" s="108">
        <f>'Приложение 2'!E135</f>
        <v>2614580.29</v>
      </c>
      <c r="H57" s="108">
        <f>'Приложение 2'!F135</f>
        <v>2614580.29</v>
      </c>
    </row>
    <row r="58" spans="1:8" ht="16.5">
      <c r="A58" s="48" t="s">
        <v>196</v>
      </c>
      <c r="B58" s="107" t="s">
        <v>308</v>
      </c>
      <c r="C58" s="107" t="s">
        <v>336</v>
      </c>
      <c r="D58" s="107" t="s">
        <v>269</v>
      </c>
      <c r="E58" s="107" t="s">
        <v>257</v>
      </c>
      <c r="F58" s="108">
        <f>'Приложение 2'!D136</f>
        <v>23340.68</v>
      </c>
      <c r="G58" s="108">
        <f>'Приложение 2'!E136</f>
        <v>0</v>
      </c>
      <c r="H58" s="108">
        <f>'Приложение 2'!F136</f>
        <v>0</v>
      </c>
    </row>
    <row r="59" spans="1:8" s="138" customFormat="1" ht="16.5">
      <c r="A59" s="48" t="s">
        <v>197</v>
      </c>
      <c r="B59" s="107" t="s">
        <v>308</v>
      </c>
      <c r="C59" s="107" t="s">
        <v>336</v>
      </c>
      <c r="D59" s="107" t="s">
        <v>269</v>
      </c>
      <c r="E59" s="107" t="s">
        <v>231</v>
      </c>
      <c r="F59" s="108">
        <f>'Приложение 2'!D137</f>
        <v>5000</v>
      </c>
      <c r="G59" s="108">
        <f>'Приложение 2'!E137</f>
        <v>5000</v>
      </c>
      <c r="H59" s="108">
        <f>'Приложение 2'!F137</f>
        <v>5000</v>
      </c>
    </row>
    <row r="60" spans="1:8" s="138" customFormat="1" ht="16.5">
      <c r="A60" s="139" t="s">
        <v>270</v>
      </c>
      <c r="B60" s="105" t="s">
        <v>308</v>
      </c>
      <c r="C60" s="105" t="s">
        <v>336</v>
      </c>
      <c r="D60" s="105" t="s">
        <v>271</v>
      </c>
      <c r="E60" s="105"/>
      <c r="F60" s="106">
        <f>F61+F62+F63</f>
        <v>35851491.58</v>
      </c>
      <c r="G60" s="106">
        <f>G61+G62+G63</f>
        <v>12005877.25</v>
      </c>
      <c r="H60" s="106">
        <f>H61+H62+H63</f>
        <v>12005877.25</v>
      </c>
    </row>
    <row r="61" spans="1:8" s="138" customFormat="1" ht="33.75">
      <c r="A61" s="48" t="s">
        <v>195</v>
      </c>
      <c r="B61" s="107" t="s">
        <v>308</v>
      </c>
      <c r="C61" s="107" t="s">
        <v>336</v>
      </c>
      <c r="D61" s="107" t="s">
        <v>271</v>
      </c>
      <c r="E61" s="107" t="s">
        <v>252</v>
      </c>
      <c r="F61" s="108">
        <f>'Приложение 2'!D139</f>
        <v>15515922.57</v>
      </c>
      <c r="G61" s="108">
        <f>'Приложение 2'!E139</f>
        <v>11995877.25</v>
      </c>
      <c r="H61" s="108">
        <f>'Приложение 2'!F139</f>
        <v>11995877.25</v>
      </c>
    </row>
    <row r="62" spans="1:8" s="138" customFormat="1" ht="33.75">
      <c r="A62" s="48" t="s">
        <v>272</v>
      </c>
      <c r="B62" s="107" t="s">
        <v>308</v>
      </c>
      <c r="C62" s="107" t="s">
        <v>336</v>
      </c>
      <c r="D62" s="107" t="s">
        <v>271</v>
      </c>
      <c r="E62" s="107" t="s">
        <v>266</v>
      </c>
      <c r="F62" s="108">
        <f>4561714.79+2500000+2839134.82+439719.4+5985000</f>
        <v>16325569.01</v>
      </c>
      <c r="G62" s="108">
        <v>0</v>
      </c>
      <c r="H62" s="108">
        <v>0</v>
      </c>
    </row>
    <row r="63" spans="1:8" s="138" customFormat="1" ht="16.5">
      <c r="A63" s="48" t="s">
        <v>197</v>
      </c>
      <c r="B63" s="107" t="s">
        <v>308</v>
      </c>
      <c r="C63" s="107" t="s">
        <v>336</v>
      </c>
      <c r="D63" s="107" t="s">
        <v>271</v>
      </c>
      <c r="E63" s="107" t="s">
        <v>231</v>
      </c>
      <c r="F63" s="108">
        <f>'Приложение 2'!D141</f>
        <v>4010000</v>
      </c>
      <c r="G63" s="108">
        <f>'Приложение 2'!E141</f>
        <v>10000</v>
      </c>
      <c r="H63" s="108">
        <f>'Приложение 2'!F141</f>
        <v>10000</v>
      </c>
    </row>
    <row r="64" spans="1:8" s="138" customFormat="1" ht="16.5">
      <c r="A64" s="65" t="s">
        <v>273</v>
      </c>
      <c r="B64" s="105" t="s">
        <v>308</v>
      </c>
      <c r="C64" s="105" t="s">
        <v>336</v>
      </c>
      <c r="D64" s="105" t="s">
        <v>274</v>
      </c>
      <c r="E64" s="105"/>
      <c r="F64" s="106">
        <f>F65+F66+F67</f>
        <v>9053939</v>
      </c>
      <c r="G64" s="106">
        <f>G65+G66+G67</f>
        <v>3643625.92</v>
      </c>
      <c r="H64" s="106">
        <f>H65+H66+H67</f>
        <v>3643625.92</v>
      </c>
    </row>
    <row r="65" spans="1:8" ht="33.75">
      <c r="A65" s="48" t="s">
        <v>195</v>
      </c>
      <c r="B65" s="107" t="s">
        <v>308</v>
      </c>
      <c r="C65" s="107" t="s">
        <v>336</v>
      </c>
      <c r="D65" s="107" t="s">
        <v>274</v>
      </c>
      <c r="E65" s="107" t="s">
        <v>252</v>
      </c>
      <c r="F65" s="108">
        <f>'Приложение 2'!D143</f>
        <v>9053939</v>
      </c>
      <c r="G65" s="108">
        <f>'Приложение 2'!E143</f>
        <v>3643625.92</v>
      </c>
      <c r="H65" s="108">
        <f>'Приложение 2'!F143</f>
        <v>3643625.92</v>
      </c>
    </row>
    <row r="66" spans="1:8" ht="33.75">
      <c r="A66" s="48" t="s">
        <v>272</v>
      </c>
      <c r="B66" s="107" t="s">
        <v>308</v>
      </c>
      <c r="C66" s="107" t="s">
        <v>336</v>
      </c>
      <c r="D66" s="107" t="s">
        <v>274</v>
      </c>
      <c r="E66" s="107" t="s">
        <v>266</v>
      </c>
      <c r="F66" s="108">
        <f>'Приложение 2'!D144</f>
        <v>0</v>
      </c>
      <c r="G66" s="108">
        <f>'Приложение 2'!E144</f>
        <v>0</v>
      </c>
      <c r="H66" s="108">
        <f>'Приложение 2'!F144</f>
        <v>0</v>
      </c>
    </row>
    <row r="67" spans="1:8" ht="16.5">
      <c r="A67" s="48" t="s">
        <v>197</v>
      </c>
      <c r="B67" s="107" t="s">
        <v>308</v>
      </c>
      <c r="C67" s="107" t="s">
        <v>336</v>
      </c>
      <c r="D67" s="107" t="s">
        <v>274</v>
      </c>
      <c r="E67" s="107" t="s">
        <v>231</v>
      </c>
      <c r="F67" s="108">
        <f>'Приложение 2'!D145</f>
        <v>0</v>
      </c>
      <c r="G67" s="108">
        <f>'Приложение 2'!E145</f>
        <v>0</v>
      </c>
      <c r="H67" s="108">
        <f>'Приложение 2'!F145</f>
        <v>0</v>
      </c>
    </row>
    <row r="68" spans="1:8" ht="16.5">
      <c r="A68" s="70" t="s">
        <v>311</v>
      </c>
      <c r="B68" s="105" t="s">
        <v>308</v>
      </c>
      <c r="C68" s="105" t="s">
        <v>336</v>
      </c>
      <c r="D68" s="101">
        <v>9900000000</v>
      </c>
      <c r="E68" s="105"/>
      <c r="F68" s="106">
        <f>F69+F75</f>
        <v>547283690.86</v>
      </c>
      <c r="G68" s="106">
        <f>G69+G75</f>
        <v>413679094.86</v>
      </c>
      <c r="H68" s="106">
        <f>H69+H75</f>
        <v>413679094.86</v>
      </c>
    </row>
    <row r="69" spans="1:8" ht="33.75">
      <c r="A69" s="48" t="s">
        <v>313</v>
      </c>
      <c r="B69" s="107" t="s">
        <v>308</v>
      </c>
      <c r="C69" s="107" t="s">
        <v>336</v>
      </c>
      <c r="D69" s="98">
        <v>9910000000</v>
      </c>
      <c r="E69" s="107"/>
      <c r="F69" s="108">
        <f>SUM(F70:F74)</f>
        <v>443755541.91</v>
      </c>
      <c r="G69" s="108">
        <f>SUM(G70:G74)</f>
        <v>408093714.86</v>
      </c>
      <c r="H69" s="108">
        <f>SUM(H70:H74)</f>
        <v>408093714.86</v>
      </c>
    </row>
    <row r="70" spans="1:8" ht="67.5">
      <c r="A70" s="48" t="s">
        <v>194</v>
      </c>
      <c r="B70" s="107" t="s">
        <v>308</v>
      </c>
      <c r="C70" s="107" t="s">
        <v>336</v>
      </c>
      <c r="D70" s="98">
        <v>9910000000</v>
      </c>
      <c r="E70" s="107" t="s">
        <v>229</v>
      </c>
      <c r="F70" s="108">
        <f>'Приложение 3'!F62+'Приложение 3'!F64+'Приложение 3'!F66+'Приложение 3'!F72+'Приложение 3'!F76+'Приложение 3'!F80</f>
        <v>135358757.72</v>
      </c>
      <c r="G70" s="108">
        <f>'Приложение 3'!G62+'Приложение 3'!G64+'Приложение 3'!G66+'Приложение 3'!G72+'Приложение 3'!G76+'Приложение 3'!G80</f>
        <v>131394775.41999999</v>
      </c>
      <c r="H70" s="108">
        <f>'Приложение 3'!H62+'Приложение 3'!H64+'Приложение 3'!H66+'Приложение 3'!H72+'Приложение 3'!H76+'Приложение 3'!H80</f>
        <v>131394775.41999999</v>
      </c>
    </row>
    <row r="71" spans="1:8" ht="33.75">
      <c r="A71" s="48" t="s">
        <v>195</v>
      </c>
      <c r="B71" s="107" t="s">
        <v>308</v>
      </c>
      <c r="C71" s="107" t="s">
        <v>336</v>
      </c>
      <c r="D71" s="98">
        <v>9910000000</v>
      </c>
      <c r="E71" s="107" t="s">
        <v>252</v>
      </c>
      <c r="F71" s="108">
        <f>'Приложение 3'!F67+'Приложение 3'!F73+'Приложение 3'!F77+'Приложение 3'!F81</f>
        <v>16549728.68</v>
      </c>
      <c r="G71" s="108">
        <f>'Приложение 3'!G67+'Приложение 3'!G73+'Приложение 3'!G77+'Приложение 3'!G81</f>
        <v>18789326.62</v>
      </c>
      <c r="H71" s="108">
        <f>'Приложение 3'!H67+'Приложение 3'!H73+'Приложение 3'!H77+'Приложение 3'!H81</f>
        <v>18789326.62</v>
      </c>
    </row>
    <row r="72" spans="1:8" ht="16.5">
      <c r="A72" s="48" t="s">
        <v>196</v>
      </c>
      <c r="B72" s="107" t="s">
        <v>308</v>
      </c>
      <c r="C72" s="107" t="s">
        <v>336</v>
      </c>
      <c r="D72" s="98">
        <v>9910000000</v>
      </c>
      <c r="E72" s="107" t="s">
        <v>257</v>
      </c>
      <c r="F72" s="108">
        <f>'Приложение 3'!F74+'Приложение 3'!F82</f>
        <v>8411.279999999999</v>
      </c>
      <c r="G72" s="108">
        <f>'Приложение 3'!G74+'Приложение 3'!G82</f>
        <v>0</v>
      </c>
      <c r="H72" s="108">
        <f>'Приложение 3'!H74+'Приложение 3'!H82</f>
        <v>0</v>
      </c>
    </row>
    <row r="73" spans="1:8" ht="33.75">
      <c r="A73" s="46" t="s">
        <v>204</v>
      </c>
      <c r="B73" s="107" t="s">
        <v>308</v>
      </c>
      <c r="C73" s="107" t="s">
        <v>336</v>
      </c>
      <c r="D73" s="98">
        <v>9910000000</v>
      </c>
      <c r="E73" s="107" t="s">
        <v>338</v>
      </c>
      <c r="F73" s="108">
        <f>'Приложение 3'!F70</f>
        <v>290760354.23</v>
      </c>
      <c r="G73" s="108">
        <f>'Приложение 3'!G70</f>
        <v>256831322.82</v>
      </c>
      <c r="H73" s="108">
        <f>'Приложение 3'!H70</f>
        <v>256831322.82</v>
      </c>
    </row>
    <row r="74" spans="1:8" ht="16.5">
      <c r="A74" s="48" t="s">
        <v>197</v>
      </c>
      <c r="B74" s="107" t="s">
        <v>308</v>
      </c>
      <c r="C74" s="107" t="s">
        <v>336</v>
      </c>
      <c r="D74" s="98">
        <v>9910000000</v>
      </c>
      <c r="E74" s="107" t="s">
        <v>231</v>
      </c>
      <c r="F74" s="108">
        <f>'Приложение 3'!F78+'Приложение 3'!F68</f>
        <v>1078290</v>
      </c>
      <c r="G74" s="108">
        <f>'Приложение 3'!G78+'Приложение 3'!G68</f>
        <v>1078290</v>
      </c>
      <c r="H74" s="108">
        <f>'Приложение 3'!H78+'Приложение 3'!H68</f>
        <v>1078290</v>
      </c>
    </row>
    <row r="75" spans="1:8" s="138" customFormat="1" ht="16.5">
      <c r="A75" s="48" t="s">
        <v>331</v>
      </c>
      <c r="B75" s="107" t="s">
        <v>308</v>
      </c>
      <c r="C75" s="107" t="s">
        <v>336</v>
      </c>
      <c r="D75" s="107" t="s">
        <v>332</v>
      </c>
      <c r="E75" s="107"/>
      <c r="F75" s="108">
        <f>SUM(F76:F79)</f>
        <v>103528148.94999999</v>
      </c>
      <c r="G75" s="108">
        <f>SUM(G76:G79)</f>
        <v>5585380</v>
      </c>
      <c r="H75" s="108">
        <f>SUM(H76:H79)</f>
        <v>5585380</v>
      </c>
    </row>
    <row r="76" spans="1:8" s="136" customFormat="1" ht="33.75">
      <c r="A76" s="48" t="s">
        <v>195</v>
      </c>
      <c r="B76" s="107" t="s">
        <v>308</v>
      </c>
      <c r="C76" s="107" t="s">
        <v>336</v>
      </c>
      <c r="D76" s="107" t="s">
        <v>332</v>
      </c>
      <c r="E76" s="107" t="s">
        <v>252</v>
      </c>
      <c r="F76" s="108">
        <f>'Приложение 3'!F87+'Приложение 3'!F92</f>
        <v>59922390.28</v>
      </c>
      <c r="G76" s="108">
        <f>'Приложение 3'!G87</f>
        <v>5355500</v>
      </c>
      <c r="H76" s="108">
        <f>'Приложение 3'!H87</f>
        <v>5355500</v>
      </c>
    </row>
    <row r="77" spans="1:8" s="138" customFormat="1" ht="16.5">
      <c r="A77" s="48" t="s">
        <v>196</v>
      </c>
      <c r="B77" s="107" t="s">
        <v>308</v>
      </c>
      <c r="C77" s="107" t="s">
        <v>336</v>
      </c>
      <c r="D77" s="107" t="s">
        <v>332</v>
      </c>
      <c r="E77" s="107" t="s">
        <v>257</v>
      </c>
      <c r="F77" s="108">
        <f>'Приложение 3'!F94+'Приложение 3'!F88</f>
        <v>2915744.5</v>
      </c>
      <c r="G77" s="108">
        <f>'Приложение 3'!G94+'Приложение 3'!G88</f>
        <v>229880</v>
      </c>
      <c r="H77" s="108">
        <f>'Приложение 3'!H94+'Приложение 3'!H88</f>
        <v>229880</v>
      </c>
    </row>
    <row r="78" spans="1:8" s="138" customFormat="1" ht="33.75">
      <c r="A78" s="46" t="s">
        <v>204</v>
      </c>
      <c r="B78" s="107" t="s">
        <v>308</v>
      </c>
      <c r="C78" s="107" t="s">
        <v>336</v>
      </c>
      <c r="D78" s="107" t="s">
        <v>332</v>
      </c>
      <c r="E78" s="107" t="s">
        <v>338</v>
      </c>
      <c r="F78" s="108">
        <f>'Приложение 3'!F89</f>
        <v>17301370.08</v>
      </c>
      <c r="G78" s="108">
        <f>'Приложение 3'!G89</f>
        <v>0</v>
      </c>
      <c r="H78" s="108">
        <f>'Приложение 3'!H89</f>
        <v>0</v>
      </c>
    </row>
    <row r="79" spans="1:8" s="138" customFormat="1" ht="16.5">
      <c r="A79" s="48" t="s">
        <v>197</v>
      </c>
      <c r="B79" s="107" t="s">
        <v>308</v>
      </c>
      <c r="C79" s="107" t="s">
        <v>336</v>
      </c>
      <c r="D79" s="107" t="s">
        <v>332</v>
      </c>
      <c r="E79" s="107" t="s">
        <v>231</v>
      </c>
      <c r="F79" s="108">
        <f>'Приложение 3'!F96+'Приложение 3'!F98+'Приложение 3'!F85+'Приложение 3'!F90</f>
        <v>23388644.089999996</v>
      </c>
      <c r="G79" s="108">
        <f>'Приложение 3'!G96+'Приложение 3'!G98</f>
        <v>0</v>
      </c>
      <c r="H79" s="108">
        <f>'Приложение 3'!H96+'Приложение 3'!H98</f>
        <v>0</v>
      </c>
    </row>
    <row r="80" spans="1:8" s="140" customFormat="1" ht="23.25" customHeight="1">
      <c r="A80" s="66" t="s">
        <v>777</v>
      </c>
      <c r="B80" s="105" t="s">
        <v>310</v>
      </c>
      <c r="C80" s="105"/>
      <c r="D80" s="105"/>
      <c r="E80" s="105"/>
      <c r="F80" s="106">
        <f>F81</f>
        <v>15370880.92</v>
      </c>
      <c r="G80" s="106">
        <f aca="true" t="shared" si="6" ref="G80:H83">G81</f>
        <v>0</v>
      </c>
      <c r="H80" s="106">
        <f t="shared" si="6"/>
        <v>0</v>
      </c>
    </row>
    <row r="81" spans="1:8" s="140" customFormat="1" ht="16.5">
      <c r="A81" s="66" t="s">
        <v>778</v>
      </c>
      <c r="B81" s="105" t="s">
        <v>310</v>
      </c>
      <c r="C81" s="105" t="s">
        <v>318</v>
      </c>
      <c r="D81" s="105"/>
      <c r="E81" s="105"/>
      <c r="F81" s="106">
        <f>F82</f>
        <v>15370880.92</v>
      </c>
      <c r="G81" s="106">
        <f t="shared" si="6"/>
        <v>0</v>
      </c>
      <c r="H81" s="106">
        <f t="shared" si="6"/>
        <v>0</v>
      </c>
    </row>
    <row r="82" spans="1:8" s="140" customFormat="1" ht="16.5">
      <c r="A82" s="66" t="s">
        <v>311</v>
      </c>
      <c r="B82" s="105" t="s">
        <v>310</v>
      </c>
      <c r="C82" s="105" t="s">
        <v>318</v>
      </c>
      <c r="D82" s="101">
        <v>9900000000</v>
      </c>
      <c r="E82" s="105"/>
      <c r="F82" s="106">
        <f>F83</f>
        <v>15370880.92</v>
      </c>
      <c r="G82" s="106">
        <f t="shared" si="6"/>
        <v>0</v>
      </c>
      <c r="H82" s="106">
        <f t="shared" si="6"/>
        <v>0</v>
      </c>
    </row>
    <row r="83" spans="1:8" s="138" customFormat="1" ht="16.5">
      <c r="A83" s="48" t="s">
        <v>331</v>
      </c>
      <c r="B83" s="107" t="s">
        <v>310</v>
      </c>
      <c r="C83" s="107" t="s">
        <v>318</v>
      </c>
      <c r="D83" s="98">
        <v>9950000000</v>
      </c>
      <c r="E83" s="107"/>
      <c r="F83" s="108">
        <f>F84</f>
        <v>15370880.92</v>
      </c>
      <c r="G83" s="108">
        <f t="shared" si="6"/>
        <v>0</v>
      </c>
      <c r="H83" s="108">
        <f t="shared" si="6"/>
        <v>0</v>
      </c>
    </row>
    <row r="84" spans="1:8" s="138" customFormat="1" ht="33.75">
      <c r="A84" s="48" t="s">
        <v>195</v>
      </c>
      <c r="B84" s="107" t="s">
        <v>310</v>
      </c>
      <c r="C84" s="107" t="s">
        <v>318</v>
      </c>
      <c r="D84" s="98">
        <v>9950000000</v>
      </c>
      <c r="E84" s="107" t="s">
        <v>252</v>
      </c>
      <c r="F84" s="108">
        <f>'Приложение 3'!F104</f>
        <v>15370880.92</v>
      </c>
      <c r="G84" s="108">
        <f>'Приложение 3'!G104</f>
        <v>0</v>
      </c>
      <c r="H84" s="108">
        <f>'Приложение 3'!H104</f>
        <v>0</v>
      </c>
    </row>
    <row r="85" spans="1:8" s="140" customFormat="1" ht="33.75">
      <c r="A85" s="70" t="s">
        <v>343</v>
      </c>
      <c r="B85" s="105" t="s">
        <v>318</v>
      </c>
      <c r="C85" s="105"/>
      <c r="D85" s="105"/>
      <c r="E85" s="105"/>
      <c r="F85" s="106">
        <f aca="true" t="shared" si="7" ref="F85:H86">F86</f>
        <v>14716624.530000001</v>
      </c>
      <c r="G85" s="106">
        <f t="shared" si="7"/>
        <v>14655349</v>
      </c>
      <c r="H85" s="106">
        <f t="shared" si="7"/>
        <v>14655349</v>
      </c>
    </row>
    <row r="86" spans="1:8" s="140" customFormat="1" ht="67.5">
      <c r="A86" s="70" t="s">
        <v>344</v>
      </c>
      <c r="B86" s="105" t="s">
        <v>318</v>
      </c>
      <c r="C86" s="105" t="s">
        <v>345</v>
      </c>
      <c r="D86" s="105"/>
      <c r="E86" s="105"/>
      <c r="F86" s="106">
        <f t="shared" si="7"/>
        <v>14716624.530000001</v>
      </c>
      <c r="G86" s="106">
        <f t="shared" si="7"/>
        <v>14655349</v>
      </c>
      <c r="H86" s="106">
        <f t="shared" si="7"/>
        <v>14655349</v>
      </c>
    </row>
    <row r="87" spans="1:8" s="138" customFormat="1" ht="16.5">
      <c r="A87" s="66" t="s">
        <v>311</v>
      </c>
      <c r="B87" s="105" t="s">
        <v>318</v>
      </c>
      <c r="C87" s="105" t="s">
        <v>345</v>
      </c>
      <c r="D87" s="101">
        <v>9900000000</v>
      </c>
      <c r="E87" s="101"/>
      <c r="F87" s="106">
        <f>F88+F92</f>
        <v>14716624.530000001</v>
      </c>
      <c r="G87" s="106">
        <f>G88+G92</f>
        <v>14655349</v>
      </c>
      <c r="H87" s="106">
        <f>H88+H92</f>
        <v>14655349</v>
      </c>
    </row>
    <row r="88" spans="1:8" s="138" customFormat="1" ht="33.75">
      <c r="A88" s="48" t="s">
        <v>313</v>
      </c>
      <c r="B88" s="107" t="s">
        <v>318</v>
      </c>
      <c r="C88" s="107" t="s">
        <v>345</v>
      </c>
      <c r="D88" s="98">
        <v>9910000000</v>
      </c>
      <c r="E88" s="98"/>
      <c r="F88" s="108">
        <f>SUM(F89:F91)</f>
        <v>13716624.530000001</v>
      </c>
      <c r="G88" s="108">
        <f>SUM(G89:G91)</f>
        <v>13155349</v>
      </c>
      <c r="H88" s="108">
        <f>SUM(H89:H91)</f>
        <v>13155349</v>
      </c>
    </row>
    <row r="89" spans="1:8" s="138" customFormat="1" ht="67.5">
      <c r="A89" s="48" t="s">
        <v>194</v>
      </c>
      <c r="B89" s="107" t="s">
        <v>318</v>
      </c>
      <c r="C89" s="107" t="s">
        <v>345</v>
      </c>
      <c r="D89" s="98">
        <v>9910000000</v>
      </c>
      <c r="E89" s="107" t="s">
        <v>229</v>
      </c>
      <c r="F89" s="108">
        <f>'Приложение 3'!F110</f>
        <v>10616269.91</v>
      </c>
      <c r="G89" s="108">
        <f>'Приложение 3'!G110</f>
        <v>9415554</v>
      </c>
      <c r="H89" s="108">
        <f>'Приложение 3'!H110</f>
        <v>9415554</v>
      </c>
    </row>
    <row r="90" spans="1:8" s="138" customFormat="1" ht="33.75">
      <c r="A90" s="48" t="s">
        <v>195</v>
      </c>
      <c r="B90" s="107" t="s">
        <v>318</v>
      </c>
      <c r="C90" s="107" t="s">
        <v>345</v>
      </c>
      <c r="D90" s="98">
        <v>9910000000</v>
      </c>
      <c r="E90" s="107" t="s">
        <v>252</v>
      </c>
      <c r="F90" s="108">
        <f>'Приложение 3'!F111</f>
        <v>3100354.62</v>
      </c>
      <c r="G90" s="108">
        <f>'Приложение 3'!G111</f>
        <v>3738715</v>
      </c>
      <c r="H90" s="108">
        <f>'Приложение 3'!H111</f>
        <v>3738715</v>
      </c>
    </row>
    <row r="91" spans="1:8" s="138" customFormat="1" ht="16.5">
      <c r="A91" s="48" t="s">
        <v>197</v>
      </c>
      <c r="B91" s="107" t="s">
        <v>318</v>
      </c>
      <c r="C91" s="107" t="s">
        <v>345</v>
      </c>
      <c r="D91" s="98">
        <v>9910000000</v>
      </c>
      <c r="E91" s="98">
        <v>800</v>
      </c>
      <c r="F91" s="108">
        <f>'Приложение 3'!F112</f>
        <v>0</v>
      </c>
      <c r="G91" s="108">
        <f>'Приложение 3'!G112</f>
        <v>1080</v>
      </c>
      <c r="H91" s="108">
        <f>'Приложение 3'!H112</f>
        <v>1080</v>
      </c>
    </row>
    <row r="92" spans="1:8" s="138" customFormat="1" ht="16.5">
      <c r="A92" s="48" t="s">
        <v>331</v>
      </c>
      <c r="B92" s="107" t="s">
        <v>318</v>
      </c>
      <c r="C92" s="107" t="s">
        <v>345</v>
      </c>
      <c r="D92" s="98">
        <v>9950000000</v>
      </c>
      <c r="E92" s="98"/>
      <c r="F92" s="108">
        <f>F93</f>
        <v>1000000</v>
      </c>
      <c r="G92" s="108">
        <f>G93</f>
        <v>1500000</v>
      </c>
      <c r="H92" s="108">
        <f>H93</f>
        <v>1500000</v>
      </c>
    </row>
    <row r="93" spans="1:8" s="138" customFormat="1" ht="33.75">
      <c r="A93" s="48" t="s">
        <v>195</v>
      </c>
      <c r="B93" s="107" t="s">
        <v>318</v>
      </c>
      <c r="C93" s="107" t="s">
        <v>345</v>
      </c>
      <c r="D93" s="98">
        <v>9950000000</v>
      </c>
      <c r="E93" s="98">
        <v>200</v>
      </c>
      <c r="F93" s="108">
        <f>'Приложение 3'!F115</f>
        <v>1000000</v>
      </c>
      <c r="G93" s="108">
        <f>'Приложение 3'!G115</f>
        <v>1500000</v>
      </c>
      <c r="H93" s="108">
        <f>'Приложение 3'!H115</f>
        <v>1500000</v>
      </c>
    </row>
    <row r="94" spans="1:8" s="140" customFormat="1" ht="16.5">
      <c r="A94" s="70" t="s">
        <v>348</v>
      </c>
      <c r="B94" s="105" t="s">
        <v>322</v>
      </c>
      <c r="C94" s="105"/>
      <c r="D94" s="105"/>
      <c r="E94" s="105"/>
      <c r="F94" s="106">
        <f>F95+F99+F112+F119+F127+F123</f>
        <v>289649487.85999995</v>
      </c>
      <c r="G94" s="106">
        <f>G95+G99+G112+G119+G127</f>
        <v>104772258.22</v>
      </c>
      <c r="H94" s="106">
        <f>H95+H99+H112+H119+H127</f>
        <v>105663739.58</v>
      </c>
    </row>
    <row r="95" spans="1:8" s="140" customFormat="1" ht="16.5">
      <c r="A95" s="70" t="s">
        <v>349</v>
      </c>
      <c r="B95" s="105" t="s">
        <v>322</v>
      </c>
      <c r="C95" s="105" t="s">
        <v>308</v>
      </c>
      <c r="D95" s="105"/>
      <c r="E95" s="105"/>
      <c r="F95" s="106">
        <f aca="true" t="shared" si="8" ref="F95:H97">F96</f>
        <v>307161.12999999995</v>
      </c>
      <c r="G95" s="106">
        <f t="shared" si="8"/>
        <v>847554.33</v>
      </c>
      <c r="H95" s="106">
        <f t="shared" si="8"/>
        <v>847554.33</v>
      </c>
    </row>
    <row r="96" spans="1:8" s="140" customFormat="1" ht="16.5">
      <c r="A96" s="70" t="s">
        <v>311</v>
      </c>
      <c r="B96" s="105" t="s">
        <v>322</v>
      </c>
      <c r="C96" s="105" t="s">
        <v>308</v>
      </c>
      <c r="D96" s="105">
        <v>9900000000</v>
      </c>
      <c r="E96" s="105"/>
      <c r="F96" s="106">
        <f t="shared" si="8"/>
        <v>307161.12999999995</v>
      </c>
      <c r="G96" s="106">
        <f t="shared" si="8"/>
        <v>847554.33</v>
      </c>
      <c r="H96" s="106">
        <f t="shared" si="8"/>
        <v>847554.33</v>
      </c>
    </row>
    <row r="97" spans="1:8" s="140" customFormat="1" ht="33.75">
      <c r="A97" s="48" t="s">
        <v>313</v>
      </c>
      <c r="B97" s="107" t="s">
        <v>322</v>
      </c>
      <c r="C97" s="107" t="s">
        <v>308</v>
      </c>
      <c r="D97" s="107" t="s">
        <v>314</v>
      </c>
      <c r="E97" s="107"/>
      <c r="F97" s="108">
        <f t="shared" si="8"/>
        <v>307161.12999999995</v>
      </c>
      <c r="G97" s="108">
        <f t="shared" si="8"/>
        <v>847554.33</v>
      </c>
      <c r="H97" s="108">
        <f t="shared" si="8"/>
        <v>847554.33</v>
      </c>
    </row>
    <row r="98" spans="1:8" s="140" customFormat="1" ht="67.5">
      <c r="A98" s="48" t="s">
        <v>194</v>
      </c>
      <c r="B98" s="107" t="s">
        <v>322</v>
      </c>
      <c r="C98" s="107" t="s">
        <v>308</v>
      </c>
      <c r="D98" s="107" t="s">
        <v>314</v>
      </c>
      <c r="E98" s="107" t="s">
        <v>229</v>
      </c>
      <c r="F98" s="108">
        <f>'Приложение 3'!F121</f>
        <v>307161.12999999995</v>
      </c>
      <c r="G98" s="108">
        <f>'Приложение 3'!G121</f>
        <v>847554.33</v>
      </c>
      <c r="H98" s="108">
        <f>'Приложение 3'!H121</f>
        <v>847554.33</v>
      </c>
    </row>
    <row r="99" spans="1:8" s="140" customFormat="1" ht="16.5">
      <c r="A99" s="70" t="s">
        <v>350</v>
      </c>
      <c r="B99" s="105" t="s">
        <v>322</v>
      </c>
      <c r="C99" s="105" t="s">
        <v>351</v>
      </c>
      <c r="D99" s="105"/>
      <c r="E99" s="105"/>
      <c r="F99" s="106">
        <f>F100+F106</f>
        <v>121064620.47</v>
      </c>
      <c r="G99" s="106">
        <f>G100+G106</f>
        <v>66602509.39</v>
      </c>
      <c r="H99" s="106">
        <f>H100+H106</f>
        <v>67493990.75</v>
      </c>
    </row>
    <row r="100" spans="1:8" s="140" customFormat="1" ht="67.5">
      <c r="A100" s="70" t="s">
        <v>225</v>
      </c>
      <c r="B100" s="105" t="s">
        <v>322</v>
      </c>
      <c r="C100" s="105" t="s">
        <v>351</v>
      </c>
      <c r="D100" s="105" t="s">
        <v>226</v>
      </c>
      <c r="E100" s="105"/>
      <c r="F100" s="106">
        <f>F101+F104</f>
        <v>97241734.25999999</v>
      </c>
      <c r="G100" s="106">
        <f>G101+G104</f>
        <v>61634121.07</v>
      </c>
      <c r="H100" s="106">
        <f>H101+H104</f>
        <v>62525602.43</v>
      </c>
    </row>
    <row r="101" spans="1:8" s="140" customFormat="1" ht="16.5">
      <c r="A101" s="48" t="s">
        <v>227</v>
      </c>
      <c r="B101" s="107" t="s">
        <v>322</v>
      </c>
      <c r="C101" s="107" t="s">
        <v>351</v>
      </c>
      <c r="D101" s="107" t="s">
        <v>228</v>
      </c>
      <c r="E101" s="107"/>
      <c r="F101" s="108">
        <f>F102+F103</f>
        <v>1390869.19</v>
      </c>
      <c r="G101" s="108">
        <f>G102+G103</f>
        <v>2491566.61</v>
      </c>
      <c r="H101" s="108">
        <f>H102+H103</f>
        <v>2491566.61</v>
      </c>
    </row>
    <row r="102" spans="1:8" s="140" customFormat="1" ht="67.5">
      <c r="A102" s="48" t="s">
        <v>194</v>
      </c>
      <c r="B102" s="107" t="s">
        <v>322</v>
      </c>
      <c r="C102" s="107" t="s">
        <v>351</v>
      </c>
      <c r="D102" s="107" t="s">
        <v>228</v>
      </c>
      <c r="E102" s="107" t="s">
        <v>229</v>
      </c>
      <c r="F102" s="108">
        <f>'Приложение 2'!D78</f>
        <v>194648.99999999994</v>
      </c>
      <c r="G102" s="108">
        <f>'Приложение 2'!E78</f>
        <v>1295346.42</v>
      </c>
      <c r="H102" s="108">
        <f>'Приложение 2'!F78</f>
        <v>1295346.42</v>
      </c>
    </row>
    <row r="103" spans="1:8" s="140" customFormat="1" ht="33.75">
      <c r="A103" s="46" t="s">
        <v>195</v>
      </c>
      <c r="B103" s="107" t="s">
        <v>322</v>
      </c>
      <c r="C103" s="107" t="s">
        <v>351</v>
      </c>
      <c r="D103" s="107" t="s">
        <v>228</v>
      </c>
      <c r="E103" s="125">
        <v>200</v>
      </c>
      <c r="F103" s="108">
        <f>'Приложение 2'!D79</f>
        <v>1196220.19</v>
      </c>
      <c r="G103" s="108">
        <f>'Приложение 2'!E79</f>
        <v>1196220.19</v>
      </c>
      <c r="H103" s="108">
        <f>'Приложение 2'!F79</f>
        <v>1196220.19</v>
      </c>
    </row>
    <row r="104" spans="1:8" s="140" customFormat="1" ht="33.75">
      <c r="A104" s="46" t="s">
        <v>300</v>
      </c>
      <c r="B104" s="107" t="s">
        <v>322</v>
      </c>
      <c r="C104" s="107" t="s">
        <v>351</v>
      </c>
      <c r="D104" s="107" t="s">
        <v>299</v>
      </c>
      <c r="E104" s="125"/>
      <c r="F104" s="108">
        <f>F105</f>
        <v>95850865.07</v>
      </c>
      <c r="G104" s="108">
        <f>G105</f>
        <v>59142554.46</v>
      </c>
      <c r="H104" s="108">
        <f>H105</f>
        <v>60034035.82</v>
      </c>
    </row>
    <row r="105" spans="1:8" s="140" customFormat="1" ht="16.5">
      <c r="A105" s="46" t="s">
        <v>197</v>
      </c>
      <c r="B105" s="107" t="s">
        <v>322</v>
      </c>
      <c r="C105" s="107" t="s">
        <v>351</v>
      </c>
      <c r="D105" s="107" t="s">
        <v>299</v>
      </c>
      <c r="E105" s="125">
        <v>800</v>
      </c>
      <c r="F105" s="108">
        <f>'Приложение 2'!D82+'Приложение 2'!D84+'Приложение 2'!D86+'Приложение 2'!D88+'Приложение 2'!D90</f>
        <v>95850865.07</v>
      </c>
      <c r="G105" s="108">
        <f>'Приложение 2'!E82+'Приложение 2'!E84+'Приложение 2'!E86+'Приложение 2'!E88+'Приложение 2'!E90</f>
        <v>59142554.46</v>
      </c>
      <c r="H105" s="108">
        <f>'Приложение 2'!F82+'Приложение 2'!F84+'Приложение 2'!F86+'Приложение 2'!F88+'Приложение 2'!F90</f>
        <v>60034035.82</v>
      </c>
    </row>
    <row r="106" spans="1:8" s="140" customFormat="1" ht="16.5">
      <c r="A106" s="66" t="s">
        <v>311</v>
      </c>
      <c r="B106" s="105" t="s">
        <v>322</v>
      </c>
      <c r="C106" s="105" t="s">
        <v>351</v>
      </c>
      <c r="D106" s="105">
        <v>9900000000</v>
      </c>
      <c r="E106" s="98"/>
      <c r="F106" s="108">
        <f>F107+F109</f>
        <v>23822886.21</v>
      </c>
      <c r="G106" s="108">
        <f>G107+G109</f>
        <v>4968388.32</v>
      </c>
      <c r="H106" s="108">
        <f>H107+H109</f>
        <v>4968388.32</v>
      </c>
    </row>
    <row r="107" spans="1:8" s="140" customFormat="1" ht="33.75">
      <c r="A107" s="48" t="s">
        <v>313</v>
      </c>
      <c r="B107" s="107" t="s">
        <v>322</v>
      </c>
      <c r="C107" s="107" t="s">
        <v>351</v>
      </c>
      <c r="D107" s="107">
        <v>9910000000</v>
      </c>
      <c r="E107" s="98"/>
      <c r="F107" s="108">
        <f>F108</f>
        <v>5343610.99</v>
      </c>
      <c r="G107" s="108">
        <f>G108</f>
        <v>4968388.32</v>
      </c>
      <c r="H107" s="108">
        <f>H108</f>
        <v>4968388.32</v>
      </c>
    </row>
    <row r="108" spans="1:8" s="140" customFormat="1" ht="67.5">
      <c r="A108" s="46" t="s">
        <v>194</v>
      </c>
      <c r="B108" s="107" t="s">
        <v>322</v>
      </c>
      <c r="C108" s="107" t="s">
        <v>351</v>
      </c>
      <c r="D108" s="107">
        <v>9910000000</v>
      </c>
      <c r="E108" s="98" t="s">
        <v>229</v>
      </c>
      <c r="F108" s="108">
        <f>'Приложение 3'!F126</f>
        <v>5343610.99</v>
      </c>
      <c r="G108" s="108">
        <f>'Приложение 3'!G126</f>
        <v>4968388.32</v>
      </c>
      <c r="H108" s="108">
        <f>'Приложение 3'!H126</f>
        <v>4968388.32</v>
      </c>
    </row>
    <row r="109" spans="1:8" s="140" customFormat="1" ht="16.5">
      <c r="A109" s="48" t="s">
        <v>331</v>
      </c>
      <c r="B109" s="107" t="s">
        <v>322</v>
      </c>
      <c r="C109" s="107" t="s">
        <v>351</v>
      </c>
      <c r="D109" s="112" t="s">
        <v>332</v>
      </c>
      <c r="E109" s="98"/>
      <c r="F109" s="108">
        <f>F111+F110</f>
        <v>18479275.22</v>
      </c>
      <c r="G109" s="108">
        <f>G111+G110</f>
        <v>0</v>
      </c>
      <c r="H109" s="108">
        <f>H111+H110</f>
        <v>0</v>
      </c>
    </row>
    <row r="110" spans="1:8" s="140" customFormat="1" ht="16.5">
      <c r="A110" s="48" t="s">
        <v>196</v>
      </c>
      <c r="B110" s="107" t="s">
        <v>322</v>
      </c>
      <c r="C110" s="107" t="s">
        <v>351</v>
      </c>
      <c r="D110" s="112" t="s">
        <v>332</v>
      </c>
      <c r="E110" s="98">
        <v>300</v>
      </c>
      <c r="F110" s="108">
        <f>'Приложение 3'!F129</f>
        <v>460000</v>
      </c>
      <c r="G110" s="108">
        <f>'Приложение 3'!G129</f>
        <v>0</v>
      </c>
      <c r="H110" s="108">
        <f>'Приложение 3'!H129</f>
        <v>0</v>
      </c>
    </row>
    <row r="111" spans="1:8" s="140" customFormat="1" ht="16.5">
      <c r="A111" s="46" t="s">
        <v>197</v>
      </c>
      <c r="B111" s="107" t="s">
        <v>322</v>
      </c>
      <c r="C111" s="107" t="s">
        <v>351</v>
      </c>
      <c r="D111" s="112" t="s">
        <v>332</v>
      </c>
      <c r="E111" s="98">
        <v>800</v>
      </c>
      <c r="F111" s="108">
        <f>'Приложение 3'!F130</f>
        <v>18019275.22</v>
      </c>
      <c r="G111" s="108">
        <f>'Приложение 3'!G130</f>
        <v>0</v>
      </c>
      <c r="H111" s="108">
        <f>'Приложение 3'!H130</f>
        <v>0</v>
      </c>
    </row>
    <row r="112" spans="1:8" s="140" customFormat="1" ht="16.5">
      <c r="A112" s="66" t="s">
        <v>402</v>
      </c>
      <c r="B112" s="105" t="s">
        <v>322</v>
      </c>
      <c r="C112" s="105" t="s">
        <v>369</v>
      </c>
      <c r="D112" s="101"/>
      <c r="E112" s="101"/>
      <c r="F112" s="106">
        <f>F113</f>
        <v>19720000</v>
      </c>
      <c r="G112" s="106">
        <f>G113</f>
        <v>17150000</v>
      </c>
      <c r="H112" s="106">
        <f>H113</f>
        <v>17150000</v>
      </c>
    </row>
    <row r="113" spans="1:8" s="140" customFormat="1" ht="33.75">
      <c r="A113" s="66" t="s">
        <v>233</v>
      </c>
      <c r="B113" s="105" t="s">
        <v>322</v>
      </c>
      <c r="C113" s="105" t="s">
        <v>369</v>
      </c>
      <c r="D113" s="141" t="s">
        <v>234</v>
      </c>
      <c r="E113" s="101"/>
      <c r="F113" s="106">
        <f>F114+F116</f>
        <v>19720000</v>
      </c>
      <c r="G113" s="106">
        <f>G114+G116</f>
        <v>17150000</v>
      </c>
      <c r="H113" s="106">
        <f>H114+H116</f>
        <v>17150000</v>
      </c>
    </row>
    <row r="114" spans="1:8" s="140" customFormat="1" ht="16.5">
      <c r="A114" s="46" t="s">
        <v>235</v>
      </c>
      <c r="B114" s="107" t="s">
        <v>322</v>
      </c>
      <c r="C114" s="107" t="s">
        <v>369</v>
      </c>
      <c r="D114" s="142" t="s">
        <v>236</v>
      </c>
      <c r="E114" s="98"/>
      <c r="F114" s="108">
        <f>F115</f>
        <v>2000000</v>
      </c>
      <c r="G114" s="108">
        <f>G115</f>
        <v>4000000</v>
      </c>
      <c r="H114" s="108">
        <f>H115</f>
        <v>4000000</v>
      </c>
    </row>
    <row r="115" spans="1:8" s="140" customFormat="1" ht="33.75">
      <c r="A115" s="48" t="s">
        <v>195</v>
      </c>
      <c r="B115" s="107" t="s">
        <v>322</v>
      </c>
      <c r="C115" s="107" t="s">
        <v>369</v>
      </c>
      <c r="D115" s="142" t="s">
        <v>236</v>
      </c>
      <c r="E115" s="98">
        <v>800</v>
      </c>
      <c r="F115" s="108">
        <f>'Приложение 2'!D93</f>
        <v>2000000</v>
      </c>
      <c r="G115" s="108">
        <f>'Приложение 2'!E93</f>
        <v>4000000</v>
      </c>
      <c r="H115" s="108">
        <f>'Приложение 2'!F93</f>
        <v>4000000</v>
      </c>
    </row>
    <row r="116" spans="1:8" s="140" customFormat="1" ht="16.5">
      <c r="A116" s="46" t="s">
        <v>237</v>
      </c>
      <c r="B116" s="107" t="s">
        <v>322</v>
      </c>
      <c r="C116" s="107" t="s">
        <v>369</v>
      </c>
      <c r="D116" s="142" t="s">
        <v>238</v>
      </c>
      <c r="E116" s="98"/>
      <c r="F116" s="108">
        <f>F117+F118</f>
        <v>17720000</v>
      </c>
      <c r="G116" s="108">
        <f>G117+G118</f>
        <v>13150000</v>
      </c>
      <c r="H116" s="108">
        <f>H117+H118</f>
        <v>13150000</v>
      </c>
    </row>
    <row r="117" spans="1:8" s="140" customFormat="1" ht="33.75">
      <c r="A117" s="48" t="s">
        <v>195</v>
      </c>
      <c r="B117" s="107" t="s">
        <v>322</v>
      </c>
      <c r="C117" s="107" t="s">
        <v>369</v>
      </c>
      <c r="D117" s="142" t="s">
        <v>238</v>
      </c>
      <c r="E117" s="98">
        <v>200</v>
      </c>
      <c r="F117" s="108">
        <f>'Приложение 2'!D95</f>
        <v>0</v>
      </c>
      <c r="G117" s="108">
        <f>'Приложение 2'!E95</f>
        <v>150000</v>
      </c>
      <c r="H117" s="108">
        <f>'Приложение 2'!F95</f>
        <v>150000</v>
      </c>
    </row>
    <row r="118" spans="1:8" s="140" customFormat="1" ht="16.5">
      <c r="A118" s="46" t="s">
        <v>197</v>
      </c>
      <c r="B118" s="107" t="s">
        <v>322</v>
      </c>
      <c r="C118" s="107" t="s">
        <v>369</v>
      </c>
      <c r="D118" s="142" t="s">
        <v>238</v>
      </c>
      <c r="E118" s="98">
        <v>800</v>
      </c>
      <c r="F118" s="108">
        <f>'Приложение 2'!D96</f>
        <v>17720000</v>
      </c>
      <c r="G118" s="108">
        <f>'Приложение 2'!E96</f>
        <v>13000000</v>
      </c>
      <c r="H118" s="108">
        <f>'Приложение 2'!F96</f>
        <v>13000000</v>
      </c>
    </row>
    <row r="119" spans="1:8" s="140" customFormat="1" ht="16.5">
      <c r="A119" s="66" t="s">
        <v>403</v>
      </c>
      <c r="B119" s="105" t="s">
        <v>322</v>
      </c>
      <c r="C119" s="105" t="s">
        <v>367</v>
      </c>
      <c r="D119" s="101"/>
      <c r="E119" s="101"/>
      <c r="F119" s="106">
        <f aca="true" t="shared" si="9" ref="F119:H121">F120</f>
        <v>123276266.25999998</v>
      </c>
      <c r="G119" s="106">
        <f t="shared" si="9"/>
        <v>15455434.5</v>
      </c>
      <c r="H119" s="106">
        <f t="shared" si="9"/>
        <v>15455434.5</v>
      </c>
    </row>
    <row r="120" spans="1:8" s="140" customFormat="1" ht="33.75">
      <c r="A120" s="66" t="s">
        <v>233</v>
      </c>
      <c r="B120" s="105" t="s">
        <v>322</v>
      </c>
      <c r="C120" s="105" t="s">
        <v>367</v>
      </c>
      <c r="D120" s="141" t="s">
        <v>234</v>
      </c>
      <c r="E120" s="101"/>
      <c r="F120" s="106">
        <f t="shared" si="9"/>
        <v>123276266.25999998</v>
      </c>
      <c r="G120" s="106">
        <f t="shared" si="9"/>
        <v>15455434.5</v>
      </c>
      <c r="H120" s="106">
        <f t="shared" si="9"/>
        <v>15455434.5</v>
      </c>
    </row>
    <row r="121" spans="1:8" s="138" customFormat="1" ht="16.5">
      <c r="A121" s="46" t="s">
        <v>239</v>
      </c>
      <c r="B121" s="107" t="s">
        <v>322</v>
      </c>
      <c r="C121" s="107" t="s">
        <v>367</v>
      </c>
      <c r="D121" s="142" t="s">
        <v>240</v>
      </c>
      <c r="E121" s="98"/>
      <c r="F121" s="108">
        <f t="shared" si="9"/>
        <v>123276266.25999998</v>
      </c>
      <c r="G121" s="108">
        <f t="shared" si="9"/>
        <v>15455434.5</v>
      </c>
      <c r="H121" s="108">
        <f t="shared" si="9"/>
        <v>15455434.5</v>
      </c>
    </row>
    <row r="122" spans="1:8" s="140" customFormat="1" ht="33.75">
      <c r="A122" s="48" t="s">
        <v>195</v>
      </c>
      <c r="B122" s="107" t="s">
        <v>322</v>
      </c>
      <c r="C122" s="107" t="s">
        <v>367</v>
      </c>
      <c r="D122" s="142" t="s">
        <v>240</v>
      </c>
      <c r="E122" s="98">
        <v>200</v>
      </c>
      <c r="F122" s="108">
        <f>'Приложение 2'!D98</f>
        <v>123276266.25999998</v>
      </c>
      <c r="G122" s="108">
        <f>'Приложение 2'!E98</f>
        <v>15455434.5</v>
      </c>
      <c r="H122" s="108">
        <f>'Приложение 2'!F98</f>
        <v>15455434.5</v>
      </c>
    </row>
    <row r="123" spans="1:8" s="140" customFormat="1" ht="16.5">
      <c r="A123" s="70" t="s">
        <v>353</v>
      </c>
      <c r="B123" s="105" t="s">
        <v>322</v>
      </c>
      <c r="C123" s="105" t="s">
        <v>345</v>
      </c>
      <c r="D123" s="113"/>
      <c r="E123" s="101"/>
      <c r="F123" s="106">
        <f>F124</f>
        <v>14000000</v>
      </c>
      <c r="G123" s="106">
        <f aca="true" t="shared" si="10" ref="G123:H125">G124</f>
        <v>0</v>
      </c>
      <c r="H123" s="106">
        <f t="shared" si="10"/>
        <v>0</v>
      </c>
    </row>
    <row r="124" spans="1:8" s="140" customFormat="1" ht="16.5">
      <c r="A124" s="70" t="s">
        <v>311</v>
      </c>
      <c r="B124" s="105" t="s">
        <v>322</v>
      </c>
      <c r="C124" s="105" t="s">
        <v>345</v>
      </c>
      <c r="D124" s="113" t="s">
        <v>312</v>
      </c>
      <c r="E124" s="101"/>
      <c r="F124" s="106">
        <f>F125</f>
        <v>14000000</v>
      </c>
      <c r="G124" s="106">
        <f t="shared" si="10"/>
        <v>0</v>
      </c>
      <c r="H124" s="106">
        <f t="shared" si="10"/>
        <v>0</v>
      </c>
    </row>
    <row r="125" spans="1:8" s="140" customFormat="1" ht="16.5">
      <c r="A125" s="70" t="s">
        <v>331</v>
      </c>
      <c r="B125" s="107" t="s">
        <v>322</v>
      </c>
      <c r="C125" s="107" t="s">
        <v>345</v>
      </c>
      <c r="D125" s="112" t="s">
        <v>332</v>
      </c>
      <c r="E125" s="98"/>
      <c r="F125" s="108">
        <f>F126</f>
        <v>14000000</v>
      </c>
      <c r="G125" s="108">
        <f t="shared" si="10"/>
        <v>0</v>
      </c>
      <c r="H125" s="108">
        <f t="shared" si="10"/>
        <v>0</v>
      </c>
    </row>
    <row r="126" spans="1:8" s="140" customFormat="1" ht="33.75">
      <c r="A126" s="48" t="s">
        <v>195</v>
      </c>
      <c r="B126" s="107" t="s">
        <v>322</v>
      </c>
      <c r="C126" s="107" t="s">
        <v>345</v>
      </c>
      <c r="D126" s="112" t="s">
        <v>332</v>
      </c>
      <c r="E126" s="98">
        <v>200</v>
      </c>
      <c r="F126" s="108">
        <f>'Приложение 3'!F135</f>
        <v>14000000</v>
      </c>
      <c r="G126" s="108">
        <f>'Приложение 3'!G135</f>
        <v>0</v>
      </c>
      <c r="H126" s="108">
        <f>'Приложение 3'!H135</f>
        <v>0</v>
      </c>
    </row>
    <row r="127" spans="1:8" s="140" customFormat="1" ht="16.5">
      <c r="A127" s="66" t="s">
        <v>404</v>
      </c>
      <c r="B127" s="105" t="s">
        <v>322</v>
      </c>
      <c r="C127" s="105" t="s">
        <v>405</v>
      </c>
      <c r="D127" s="101"/>
      <c r="E127" s="101"/>
      <c r="F127" s="106">
        <f>F128+F133</f>
        <v>11281440</v>
      </c>
      <c r="G127" s="106">
        <f>G128+G133</f>
        <v>4716760</v>
      </c>
      <c r="H127" s="106">
        <f>H128+H133</f>
        <v>4716760</v>
      </c>
    </row>
    <row r="128" spans="1:10" s="138" customFormat="1" ht="16.5">
      <c r="A128" s="66" t="s">
        <v>221</v>
      </c>
      <c r="B128" s="105" t="s">
        <v>322</v>
      </c>
      <c r="C128" s="105" t="s">
        <v>405</v>
      </c>
      <c r="D128" s="141" t="s">
        <v>222</v>
      </c>
      <c r="E128" s="101"/>
      <c r="F128" s="106">
        <f>F129</f>
        <v>4201440</v>
      </c>
      <c r="G128" s="106">
        <f>G129</f>
        <v>4716760</v>
      </c>
      <c r="H128" s="106">
        <f>H129</f>
        <v>4716760</v>
      </c>
      <c r="I128" s="140"/>
      <c r="J128" s="140"/>
    </row>
    <row r="129" spans="1:10" s="138" customFormat="1" ht="16.5">
      <c r="A129" s="46" t="s">
        <v>406</v>
      </c>
      <c r="B129" s="107" t="s">
        <v>322</v>
      </c>
      <c r="C129" s="107" t="s">
        <v>405</v>
      </c>
      <c r="D129" s="142" t="s">
        <v>224</v>
      </c>
      <c r="E129" s="98"/>
      <c r="F129" s="108">
        <f>F130+F131+F132</f>
        <v>4201440</v>
      </c>
      <c r="G129" s="108">
        <f>G130+G131+G132</f>
        <v>4716760</v>
      </c>
      <c r="H129" s="108">
        <f>H130+H131+H132</f>
        <v>4716760</v>
      </c>
      <c r="I129" s="140"/>
      <c r="J129" s="140"/>
    </row>
    <row r="130" spans="1:10" s="138" customFormat="1" ht="33.75">
      <c r="A130" s="46" t="s">
        <v>195</v>
      </c>
      <c r="B130" s="107" t="s">
        <v>322</v>
      </c>
      <c r="C130" s="107" t="s">
        <v>405</v>
      </c>
      <c r="D130" s="142" t="s">
        <v>224</v>
      </c>
      <c r="E130" s="98">
        <v>200</v>
      </c>
      <c r="F130" s="108">
        <v>0</v>
      </c>
      <c r="G130" s="108">
        <v>0</v>
      </c>
      <c r="H130" s="108">
        <v>0</v>
      </c>
      <c r="I130" s="140"/>
      <c r="J130" s="140"/>
    </row>
    <row r="131" spans="1:10" s="138" customFormat="1" ht="16.5">
      <c r="A131" s="48" t="s">
        <v>196</v>
      </c>
      <c r="B131" s="107" t="s">
        <v>322</v>
      </c>
      <c r="C131" s="107" t="s">
        <v>405</v>
      </c>
      <c r="D131" s="142" t="s">
        <v>224</v>
      </c>
      <c r="E131" s="98">
        <v>300</v>
      </c>
      <c r="F131" s="108">
        <f>'Приложение 2'!D74</f>
        <v>0</v>
      </c>
      <c r="G131" s="108">
        <f>'Приложение 2'!E74</f>
        <v>416760</v>
      </c>
      <c r="H131" s="108">
        <f>'Приложение 2'!F74</f>
        <v>416760</v>
      </c>
      <c r="I131" s="140"/>
      <c r="J131" s="140"/>
    </row>
    <row r="132" spans="1:10" s="138" customFormat="1" ht="16.5">
      <c r="A132" s="46" t="s">
        <v>197</v>
      </c>
      <c r="B132" s="107" t="s">
        <v>322</v>
      </c>
      <c r="C132" s="107" t="s">
        <v>405</v>
      </c>
      <c r="D132" s="142" t="s">
        <v>224</v>
      </c>
      <c r="E132" s="98">
        <v>800</v>
      </c>
      <c r="F132" s="108">
        <f>'Приложение 2'!D75</f>
        <v>4201440</v>
      </c>
      <c r="G132" s="108">
        <f>'Приложение 2'!E75</f>
        <v>4300000</v>
      </c>
      <c r="H132" s="108">
        <f>'Приложение 2'!F75</f>
        <v>4300000</v>
      </c>
      <c r="I132" s="140"/>
      <c r="J132" s="140"/>
    </row>
    <row r="133" spans="1:10" s="138" customFormat="1" ht="16.5">
      <c r="A133" s="70" t="s">
        <v>311</v>
      </c>
      <c r="B133" s="105" t="s">
        <v>322</v>
      </c>
      <c r="C133" s="105" t="s">
        <v>405</v>
      </c>
      <c r="D133" s="113" t="s">
        <v>312</v>
      </c>
      <c r="E133" s="98"/>
      <c r="F133" s="106">
        <f>F134</f>
        <v>7080000</v>
      </c>
      <c r="G133" s="106">
        <f>G134</f>
        <v>0</v>
      </c>
      <c r="H133" s="106">
        <f>H134</f>
        <v>0</v>
      </c>
      <c r="I133" s="140"/>
      <c r="J133" s="140"/>
    </row>
    <row r="134" spans="1:8" s="138" customFormat="1" ht="16.5">
      <c r="A134" s="48" t="s">
        <v>331</v>
      </c>
      <c r="B134" s="107" t="s">
        <v>322</v>
      </c>
      <c r="C134" s="107" t="s">
        <v>405</v>
      </c>
      <c r="D134" s="112" t="s">
        <v>332</v>
      </c>
      <c r="E134" s="98"/>
      <c r="F134" s="108">
        <f>F135</f>
        <v>7080000</v>
      </c>
      <c r="G134" s="108">
        <f>G135</f>
        <v>0</v>
      </c>
      <c r="H134" s="108">
        <f>H135</f>
        <v>0</v>
      </c>
    </row>
    <row r="135" spans="1:10" s="138" customFormat="1" ht="16.5">
      <c r="A135" s="46" t="s">
        <v>197</v>
      </c>
      <c r="B135" s="107" t="s">
        <v>322</v>
      </c>
      <c r="C135" s="107" t="s">
        <v>405</v>
      </c>
      <c r="D135" s="112" t="s">
        <v>332</v>
      </c>
      <c r="E135" s="98">
        <v>800</v>
      </c>
      <c r="F135" s="108">
        <f>'Приложение 3'!F140</f>
        <v>7080000</v>
      </c>
      <c r="G135" s="108">
        <f>'Приложение 3'!G140</f>
        <v>0</v>
      </c>
      <c r="H135" s="108">
        <f>'Приложение 3'!H140</f>
        <v>0</v>
      </c>
      <c r="I135" s="140"/>
      <c r="J135" s="140"/>
    </row>
    <row r="136" spans="1:10" s="138" customFormat="1" ht="16.5">
      <c r="A136" s="70" t="s">
        <v>354</v>
      </c>
      <c r="B136" s="105" t="s">
        <v>351</v>
      </c>
      <c r="C136" s="105"/>
      <c r="D136" s="141"/>
      <c r="E136" s="101"/>
      <c r="F136" s="106">
        <f>F142+F137</f>
        <v>9810436.8</v>
      </c>
      <c r="G136" s="106">
        <f>G142+G137</f>
        <v>0</v>
      </c>
      <c r="H136" s="106">
        <f>H142+H137</f>
        <v>0</v>
      </c>
      <c r="I136" s="140"/>
      <c r="J136" s="140"/>
    </row>
    <row r="137" spans="1:10" s="138" customFormat="1" ht="16.5" hidden="1">
      <c r="A137" s="70" t="s">
        <v>355</v>
      </c>
      <c r="B137" s="105" t="s">
        <v>351</v>
      </c>
      <c r="C137" s="105" t="s">
        <v>308</v>
      </c>
      <c r="D137" s="113"/>
      <c r="E137" s="101"/>
      <c r="F137" s="106">
        <f aca="true" t="shared" si="11" ref="F137:H138">F138</f>
        <v>0</v>
      </c>
      <c r="G137" s="106">
        <f t="shared" si="11"/>
        <v>0</v>
      </c>
      <c r="H137" s="106">
        <f t="shared" si="11"/>
        <v>0</v>
      </c>
      <c r="I137" s="140"/>
      <c r="J137" s="140"/>
    </row>
    <row r="138" spans="1:10" s="138" customFormat="1" ht="16.5" hidden="1">
      <c r="A138" s="70" t="s">
        <v>311</v>
      </c>
      <c r="B138" s="105" t="s">
        <v>351</v>
      </c>
      <c r="C138" s="105" t="s">
        <v>308</v>
      </c>
      <c r="D138" s="113" t="s">
        <v>312</v>
      </c>
      <c r="E138" s="101"/>
      <c r="F138" s="106">
        <f t="shared" si="11"/>
        <v>0</v>
      </c>
      <c r="G138" s="106">
        <f t="shared" si="11"/>
        <v>0</v>
      </c>
      <c r="H138" s="106">
        <f t="shared" si="11"/>
        <v>0</v>
      </c>
      <c r="I138" s="140"/>
      <c r="J138" s="140"/>
    </row>
    <row r="139" spans="1:10" s="138" customFormat="1" ht="16.5" hidden="1">
      <c r="A139" s="48" t="s">
        <v>331</v>
      </c>
      <c r="B139" s="107" t="s">
        <v>351</v>
      </c>
      <c r="C139" s="107" t="s">
        <v>308</v>
      </c>
      <c r="D139" s="112" t="s">
        <v>332</v>
      </c>
      <c r="E139" s="98"/>
      <c r="F139" s="108">
        <f>F140+F141</f>
        <v>0</v>
      </c>
      <c r="G139" s="108">
        <f>G140+G141</f>
        <v>0</v>
      </c>
      <c r="H139" s="108">
        <f>H140+H141</f>
        <v>0</v>
      </c>
      <c r="I139" s="140"/>
      <c r="J139" s="140"/>
    </row>
    <row r="140" spans="1:10" s="138" customFormat="1" ht="33.75" hidden="1">
      <c r="A140" s="46" t="s">
        <v>195</v>
      </c>
      <c r="B140" s="107" t="s">
        <v>351</v>
      </c>
      <c r="C140" s="107" t="s">
        <v>308</v>
      </c>
      <c r="D140" s="112" t="s">
        <v>332</v>
      </c>
      <c r="E140" s="98">
        <v>200</v>
      </c>
      <c r="F140" s="108">
        <f>'[1]Приложение 3'!F127</f>
        <v>0</v>
      </c>
      <c r="G140" s="108">
        <f>'[1]Приложение 3'!G127</f>
        <v>0</v>
      </c>
      <c r="H140" s="108">
        <f>'[1]Приложение 3'!H127</f>
        <v>0</v>
      </c>
      <c r="I140" s="140"/>
      <c r="J140" s="140"/>
    </row>
    <row r="141" spans="1:10" s="138" customFormat="1" ht="33.75" hidden="1">
      <c r="A141" s="46" t="s">
        <v>204</v>
      </c>
      <c r="B141" s="107" t="s">
        <v>351</v>
      </c>
      <c r="C141" s="107" t="s">
        <v>308</v>
      </c>
      <c r="D141" s="112" t="s">
        <v>332</v>
      </c>
      <c r="E141" s="98">
        <v>600</v>
      </c>
      <c r="F141" s="108">
        <v>0</v>
      </c>
      <c r="G141" s="108">
        <v>0</v>
      </c>
      <c r="H141" s="108">
        <v>0</v>
      </c>
      <c r="I141" s="140"/>
      <c r="J141" s="140"/>
    </row>
    <row r="142" spans="1:10" s="138" customFormat="1" ht="16.5">
      <c r="A142" s="70" t="s">
        <v>358</v>
      </c>
      <c r="B142" s="105" t="s">
        <v>351</v>
      </c>
      <c r="C142" s="105" t="s">
        <v>318</v>
      </c>
      <c r="D142" s="141"/>
      <c r="E142" s="101"/>
      <c r="F142" s="106">
        <f>F143</f>
        <v>9810436.8</v>
      </c>
      <c r="G142" s="106">
        <f aca="true" t="shared" si="12" ref="G142:H144">G143</f>
        <v>0</v>
      </c>
      <c r="H142" s="106">
        <f t="shared" si="12"/>
        <v>0</v>
      </c>
      <c r="I142" s="140"/>
      <c r="J142" s="140"/>
    </row>
    <row r="143" spans="1:10" s="138" customFormat="1" ht="16.5">
      <c r="A143" s="70" t="s">
        <v>311</v>
      </c>
      <c r="B143" s="105" t="s">
        <v>351</v>
      </c>
      <c r="C143" s="105" t="s">
        <v>318</v>
      </c>
      <c r="D143" s="141" t="s">
        <v>312</v>
      </c>
      <c r="E143" s="101"/>
      <c r="F143" s="106">
        <f>F144</f>
        <v>9810436.8</v>
      </c>
      <c r="G143" s="106">
        <f t="shared" si="12"/>
        <v>0</v>
      </c>
      <c r="H143" s="106">
        <f t="shared" si="12"/>
        <v>0</v>
      </c>
      <c r="I143" s="140"/>
      <c r="J143" s="140"/>
    </row>
    <row r="144" spans="1:10" s="138" customFormat="1" ht="16.5">
      <c r="A144" s="48" t="s">
        <v>331</v>
      </c>
      <c r="B144" s="107" t="s">
        <v>351</v>
      </c>
      <c r="C144" s="107" t="s">
        <v>318</v>
      </c>
      <c r="D144" s="142" t="s">
        <v>332</v>
      </c>
      <c r="E144" s="98"/>
      <c r="F144" s="108">
        <f>F145</f>
        <v>9810436.8</v>
      </c>
      <c r="G144" s="108">
        <f t="shared" si="12"/>
        <v>0</v>
      </c>
      <c r="H144" s="108">
        <f t="shared" si="12"/>
        <v>0</v>
      </c>
      <c r="I144" s="140"/>
      <c r="J144" s="140"/>
    </row>
    <row r="145" spans="1:10" s="138" customFormat="1" ht="33.75">
      <c r="A145" s="48" t="s">
        <v>220</v>
      </c>
      <c r="B145" s="107" t="s">
        <v>351</v>
      </c>
      <c r="C145" s="107" t="s">
        <v>318</v>
      </c>
      <c r="D145" s="142" t="s">
        <v>332</v>
      </c>
      <c r="E145" s="98">
        <v>400</v>
      </c>
      <c r="F145" s="108">
        <f>'Приложение 3'!F152</f>
        <v>9810436.8</v>
      </c>
      <c r="G145" s="108">
        <f>'Приложение 3'!G152</f>
        <v>0</v>
      </c>
      <c r="H145" s="108">
        <f>'Приложение 3'!H152</f>
        <v>0</v>
      </c>
      <c r="I145" s="140"/>
      <c r="J145" s="140"/>
    </row>
    <row r="146" spans="1:8" s="140" customFormat="1" ht="16.5">
      <c r="A146" s="66" t="s">
        <v>407</v>
      </c>
      <c r="B146" s="105" t="s">
        <v>326</v>
      </c>
      <c r="C146" s="105"/>
      <c r="D146" s="101"/>
      <c r="E146" s="101"/>
      <c r="F146" s="106">
        <f aca="true" t="shared" si="13" ref="F146:H147">F147</f>
        <v>2089351.33</v>
      </c>
      <c r="G146" s="106">
        <f t="shared" si="13"/>
        <v>1440423.53</v>
      </c>
      <c r="H146" s="106">
        <f t="shared" si="13"/>
        <v>1440423.53</v>
      </c>
    </row>
    <row r="147" spans="1:8" s="140" customFormat="1" ht="33.75">
      <c r="A147" s="70" t="s">
        <v>408</v>
      </c>
      <c r="B147" s="105" t="s">
        <v>326</v>
      </c>
      <c r="C147" s="105" t="s">
        <v>318</v>
      </c>
      <c r="D147" s="141"/>
      <c r="E147" s="101"/>
      <c r="F147" s="106">
        <f t="shared" si="13"/>
        <v>2089351.33</v>
      </c>
      <c r="G147" s="106">
        <f t="shared" si="13"/>
        <v>1440423.53</v>
      </c>
      <c r="H147" s="106">
        <f t="shared" si="13"/>
        <v>1440423.53</v>
      </c>
    </row>
    <row r="148" spans="1:8" s="140" customFormat="1" ht="33.75">
      <c r="A148" s="66" t="s">
        <v>409</v>
      </c>
      <c r="B148" s="105" t="s">
        <v>326</v>
      </c>
      <c r="C148" s="105" t="s">
        <v>318</v>
      </c>
      <c r="D148" s="143">
        <v>2900000000</v>
      </c>
      <c r="E148" s="144"/>
      <c r="F148" s="106">
        <f>F149+F151+F153</f>
        <v>2089351.33</v>
      </c>
      <c r="G148" s="106">
        <f>G149+G151+G153</f>
        <v>1440423.53</v>
      </c>
      <c r="H148" s="106">
        <f>H149+H151+H153</f>
        <v>1440423.53</v>
      </c>
    </row>
    <row r="149" spans="1:8" s="140" customFormat="1" ht="33.75">
      <c r="A149" s="46" t="s">
        <v>289</v>
      </c>
      <c r="B149" s="107" t="s">
        <v>326</v>
      </c>
      <c r="C149" s="107" t="s">
        <v>318</v>
      </c>
      <c r="D149" s="125">
        <v>2930000000</v>
      </c>
      <c r="E149" s="145"/>
      <c r="F149" s="108">
        <f>SUM(F150:F150)</f>
        <v>1820351.33</v>
      </c>
      <c r="G149" s="108">
        <f>SUM(G150:G150)</f>
        <v>1162190.53</v>
      </c>
      <c r="H149" s="108">
        <f>SUM(H150:H150)</f>
        <v>1162190.53</v>
      </c>
    </row>
    <row r="150" spans="1:8" s="140" customFormat="1" ht="33.75">
      <c r="A150" s="46" t="s">
        <v>195</v>
      </c>
      <c r="B150" s="107" t="s">
        <v>326</v>
      </c>
      <c r="C150" s="107" t="s">
        <v>318</v>
      </c>
      <c r="D150" s="125">
        <v>2930000000</v>
      </c>
      <c r="E150" s="145">
        <v>200</v>
      </c>
      <c r="F150" s="108">
        <f>'Приложение 2'!D170</f>
        <v>1820351.33</v>
      </c>
      <c r="G150" s="108">
        <f>'Приложение 2'!E170</f>
        <v>1162190.53</v>
      </c>
      <c r="H150" s="108">
        <f>'Приложение 2'!F170</f>
        <v>1162190.53</v>
      </c>
    </row>
    <row r="151" spans="1:8" s="138" customFormat="1" ht="33.75" hidden="1">
      <c r="A151" s="146" t="s">
        <v>410</v>
      </c>
      <c r="B151" s="107" t="s">
        <v>326</v>
      </c>
      <c r="C151" s="107" t="s">
        <v>318</v>
      </c>
      <c r="D151" s="125">
        <v>2940000000</v>
      </c>
      <c r="E151" s="145"/>
      <c r="F151" s="108">
        <f>F152</f>
        <v>0</v>
      </c>
      <c r="G151" s="108">
        <f>G152</f>
        <v>0</v>
      </c>
      <c r="H151" s="108">
        <f>H152</f>
        <v>0</v>
      </c>
    </row>
    <row r="152" spans="1:8" s="140" customFormat="1" ht="33.75" hidden="1">
      <c r="A152" s="48" t="s">
        <v>195</v>
      </c>
      <c r="B152" s="107" t="s">
        <v>326</v>
      </c>
      <c r="C152" s="107" t="s">
        <v>318</v>
      </c>
      <c r="D152" s="125">
        <v>2940000000</v>
      </c>
      <c r="E152" s="125">
        <v>200</v>
      </c>
      <c r="F152" s="108">
        <v>0</v>
      </c>
      <c r="G152" s="108">
        <v>0</v>
      </c>
      <c r="H152" s="108">
        <v>0</v>
      </c>
    </row>
    <row r="153" spans="1:8" s="138" customFormat="1" ht="33.75">
      <c r="A153" s="46" t="s">
        <v>290</v>
      </c>
      <c r="B153" s="107" t="s">
        <v>326</v>
      </c>
      <c r="C153" s="107" t="s">
        <v>318</v>
      </c>
      <c r="D153" s="125">
        <v>2970000000</v>
      </c>
      <c r="E153" s="125"/>
      <c r="F153" s="108">
        <f>F154</f>
        <v>269000</v>
      </c>
      <c r="G153" s="108">
        <f>G154</f>
        <v>278233</v>
      </c>
      <c r="H153" s="108">
        <f>H154</f>
        <v>278233</v>
      </c>
    </row>
    <row r="154" spans="1:8" s="140" customFormat="1" ht="33.75">
      <c r="A154" s="48" t="s">
        <v>195</v>
      </c>
      <c r="B154" s="107" t="s">
        <v>326</v>
      </c>
      <c r="C154" s="107" t="s">
        <v>318</v>
      </c>
      <c r="D154" s="125">
        <v>2970000000</v>
      </c>
      <c r="E154" s="125">
        <v>200</v>
      </c>
      <c r="F154" s="108">
        <f>'Приложение 2'!D172</f>
        <v>269000</v>
      </c>
      <c r="G154" s="108">
        <f>'Приложение 2'!E172</f>
        <v>278233</v>
      </c>
      <c r="H154" s="108">
        <f>'Приложение 2'!F172</f>
        <v>278233</v>
      </c>
    </row>
    <row r="155" spans="1:8" s="140" customFormat="1" ht="16.5">
      <c r="A155" s="66" t="s">
        <v>361</v>
      </c>
      <c r="B155" s="105" t="s">
        <v>362</v>
      </c>
      <c r="C155" s="105"/>
      <c r="D155" s="101"/>
      <c r="E155" s="101"/>
      <c r="F155" s="106">
        <f>F156+F167+F201+F224+F183</f>
        <v>1366717498.8200002</v>
      </c>
      <c r="G155" s="106">
        <f>G156+G167+G201+G224+G183</f>
        <v>1099171680.7299998</v>
      </c>
      <c r="H155" s="106">
        <f>H156+H167+H201+H224+H183</f>
        <v>1101696595.06</v>
      </c>
    </row>
    <row r="156" spans="1:8" s="140" customFormat="1" ht="16.5">
      <c r="A156" s="66" t="s">
        <v>363</v>
      </c>
      <c r="B156" s="105" t="s">
        <v>362</v>
      </c>
      <c r="C156" s="105" t="s">
        <v>308</v>
      </c>
      <c r="D156" s="101"/>
      <c r="E156" s="101"/>
      <c r="F156" s="106">
        <f>F157+F163</f>
        <v>326072391.49</v>
      </c>
      <c r="G156" s="106">
        <f>G157+G163</f>
        <v>333576586.28</v>
      </c>
      <c r="H156" s="106">
        <f>H157+H163</f>
        <v>333576586.28</v>
      </c>
    </row>
    <row r="157" spans="1:8" s="147" customFormat="1" ht="16.5">
      <c r="A157" s="66" t="s">
        <v>190</v>
      </c>
      <c r="B157" s="105" t="s">
        <v>362</v>
      </c>
      <c r="C157" s="105" t="s">
        <v>308</v>
      </c>
      <c r="D157" s="141" t="s">
        <v>191</v>
      </c>
      <c r="E157" s="101"/>
      <c r="F157" s="106">
        <f>F158</f>
        <v>314117227.49</v>
      </c>
      <c r="G157" s="106">
        <f>G158</f>
        <v>333576586.28</v>
      </c>
      <c r="H157" s="106">
        <f>H158</f>
        <v>333576586.28</v>
      </c>
    </row>
    <row r="158" spans="1:8" s="2" customFormat="1" ht="16.5">
      <c r="A158" s="148" t="s">
        <v>200</v>
      </c>
      <c r="B158" s="107" t="s">
        <v>362</v>
      </c>
      <c r="C158" s="107" t="s">
        <v>308</v>
      </c>
      <c r="D158" s="142" t="s">
        <v>201</v>
      </c>
      <c r="E158" s="98"/>
      <c r="F158" s="108">
        <f>SUM(F159:F162)</f>
        <v>314117227.49</v>
      </c>
      <c r="G158" s="108">
        <f>SUM(G159:G162)</f>
        <v>333576586.28</v>
      </c>
      <c r="H158" s="108">
        <f>SUM(H159:H162)</f>
        <v>333576586.28</v>
      </c>
    </row>
    <row r="159" spans="1:8" s="147" customFormat="1" ht="67.5">
      <c r="A159" s="46" t="s">
        <v>194</v>
      </c>
      <c r="B159" s="107" t="s">
        <v>362</v>
      </c>
      <c r="C159" s="107" t="s">
        <v>308</v>
      </c>
      <c r="D159" s="142" t="s">
        <v>201</v>
      </c>
      <c r="E159" s="98">
        <v>100</v>
      </c>
      <c r="F159" s="108">
        <f>'Приложение 2'!D24</f>
        <v>156748542.81999996</v>
      </c>
      <c r="G159" s="108">
        <f>'Приложение 2'!E24</f>
        <v>160572845.09</v>
      </c>
      <c r="H159" s="108">
        <f>'Приложение 2'!F24</f>
        <v>160572845.09</v>
      </c>
    </row>
    <row r="160" spans="1:8" s="147" customFormat="1" ht="33.75">
      <c r="A160" s="48" t="s">
        <v>195</v>
      </c>
      <c r="B160" s="107" t="s">
        <v>362</v>
      </c>
      <c r="C160" s="107" t="s">
        <v>308</v>
      </c>
      <c r="D160" s="142" t="s">
        <v>201</v>
      </c>
      <c r="E160" s="98">
        <v>200</v>
      </c>
      <c r="F160" s="108">
        <f>'Приложение 2'!D25</f>
        <v>152745315.76000005</v>
      </c>
      <c r="G160" s="108">
        <f>'Приложение 2'!E25</f>
        <v>164469540.19</v>
      </c>
      <c r="H160" s="108">
        <f>'Приложение 2'!F25</f>
        <v>164469540.19</v>
      </c>
    </row>
    <row r="161" spans="1:8" s="147" customFormat="1" ht="16.5">
      <c r="A161" s="48" t="s">
        <v>196</v>
      </c>
      <c r="B161" s="107" t="s">
        <v>362</v>
      </c>
      <c r="C161" s="107" t="s">
        <v>308</v>
      </c>
      <c r="D161" s="142" t="s">
        <v>201</v>
      </c>
      <c r="E161" s="98">
        <v>300</v>
      </c>
      <c r="F161" s="108">
        <f>'Приложение 2'!D26</f>
        <v>484157.76</v>
      </c>
      <c r="G161" s="108">
        <f>'Приложение 2'!E26</f>
        <v>0</v>
      </c>
      <c r="H161" s="108">
        <f>'Приложение 2'!F26</f>
        <v>0</v>
      </c>
    </row>
    <row r="162" spans="1:8" s="140" customFormat="1" ht="16.5">
      <c r="A162" s="46" t="s">
        <v>197</v>
      </c>
      <c r="B162" s="107" t="s">
        <v>362</v>
      </c>
      <c r="C162" s="107" t="s">
        <v>308</v>
      </c>
      <c r="D162" s="142" t="s">
        <v>201</v>
      </c>
      <c r="E162" s="98">
        <v>800</v>
      </c>
      <c r="F162" s="108">
        <f>'Приложение 2'!D27</f>
        <v>4139211.15</v>
      </c>
      <c r="G162" s="108">
        <f>'Приложение 2'!E27</f>
        <v>8534201</v>
      </c>
      <c r="H162" s="108">
        <f>'Приложение 2'!F27</f>
        <v>8534201</v>
      </c>
    </row>
    <row r="163" spans="1:8" s="140" customFormat="1" ht="16.5">
      <c r="A163" s="70" t="s">
        <v>311</v>
      </c>
      <c r="B163" s="105" t="s">
        <v>362</v>
      </c>
      <c r="C163" s="105" t="s">
        <v>308</v>
      </c>
      <c r="D163" s="113" t="s">
        <v>312</v>
      </c>
      <c r="E163" s="101"/>
      <c r="F163" s="106">
        <f>F164</f>
        <v>11955164</v>
      </c>
      <c r="G163" s="106">
        <f>G164</f>
        <v>0</v>
      </c>
      <c r="H163" s="106">
        <f>H164</f>
        <v>0</v>
      </c>
    </row>
    <row r="164" spans="1:8" s="140" customFormat="1" ht="16.5">
      <c r="A164" s="48" t="s">
        <v>331</v>
      </c>
      <c r="B164" s="107" t="s">
        <v>362</v>
      </c>
      <c r="C164" s="107" t="s">
        <v>308</v>
      </c>
      <c r="D164" s="112" t="s">
        <v>332</v>
      </c>
      <c r="E164" s="98"/>
      <c r="F164" s="108">
        <f>F166+F165</f>
        <v>11955164</v>
      </c>
      <c r="G164" s="108">
        <f>G166+G165</f>
        <v>0</v>
      </c>
      <c r="H164" s="108">
        <f>H166+H165</f>
        <v>0</v>
      </c>
    </row>
    <row r="165" spans="1:8" s="140" customFormat="1" ht="33.75">
      <c r="A165" s="48" t="s">
        <v>195</v>
      </c>
      <c r="B165" s="107" t="s">
        <v>362</v>
      </c>
      <c r="C165" s="107" t="s">
        <v>308</v>
      </c>
      <c r="D165" s="112" t="s">
        <v>332</v>
      </c>
      <c r="E165" s="98">
        <v>200</v>
      </c>
      <c r="F165" s="108">
        <f>'Приложение 3'!F158</f>
        <v>3772110</v>
      </c>
      <c r="G165" s="108">
        <f>'Приложение 3'!G158</f>
        <v>0</v>
      </c>
      <c r="H165" s="108">
        <f>'Приложение 3'!H158</f>
        <v>0</v>
      </c>
    </row>
    <row r="166" spans="1:8" s="140" customFormat="1" ht="16.5">
      <c r="A166" s="46" t="s">
        <v>197</v>
      </c>
      <c r="B166" s="107" t="s">
        <v>362</v>
      </c>
      <c r="C166" s="107" t="s">
        <v>308</v>
      </c>
      <c r="D166" s="112" t="s">
        <v>332</v>
      </c>
      <c r="E166" s="98">
        <v>800</v>
      </c>
      <c r="F166" s="108">
        <f>'Приложение 3'!F159</f>
        <v>8183054</v>
      </c>
      <c r="G166" s="108">
        <f>'Приложение 3'!G159</f>
        <v>0</v>
      </c>
      <c r="H166" s="108">
        <f>'Приложение 3'!H159</f>
        <v>0</v>
      </c>
    </row>
    <row r="167" spans="1:8" s="140" customFormat="1" ht="16.5">
      <c r="A167" s="66" t="s">
        <v>364</v>
      </c>
      <c r="B167" s="105" t="s">
        <v>362</v>
      </c>
      <c r="C167" s="105" t="s">
        <v>310</v>
      </c>
      <c r="D167" s="101"/>
      <c r="E167" s="101"/>
      <c r="F167" s="106">
        <f>F168+F175+F178</f>
        <v>527772401.94</v>
      </c>
      <c r="G167" s="106">
        <f>G168+G175+G178</f>
        <v>420442889.58</v>
      </c>
      <c r="H167" s="106">
        <f>H168+H175+H178</f>
        <v>422709839.27</v>
      </c>
    </row>
    <row r="168" spans="1:8" s="140" customFormat="1" ht="16.5">
      <c r="A168" s="66" t="s">
        <v>190</v>
      </c>
      <c r="B168" s="105" t="s">
        <v>362</v>
      </c>
      <c r="C168" s="105" t="s">
        <v>310</v>
      </c>
      <c r="D168" s="141" t="s">
        <v>191</v>
      </c>
      <c r="E168" s="101"/>
      <c r="F168" s="106">
        <f>F169</f>
        <v>399240855.87</v>
      </c>
      <c r="G168" s="106">
        <f>G169</f>
        <v>420442889.58</v>
      </c>
      <c r="H168" s="106">
        <f>H169</f>
        <v>422709839.27</v>
      </c>
    </row>
    <row r="169" spans="1:8" s="140" customFormat="1" ht="16.5">
      <c r="A169" s="46" t="s">
        <v>202</v>
      </c>
      <c r="B169" s="107" t="s">
        <v>362</v>
      </c>
      <c r="C169" s="107" t="s">
        <v>310</v>
      </c>
      <c r="D169" s="142" t="s">
        <v>203</v>
      </c>
      <c r="E169" s="98"/>
      <c r="F169" s="108">
        <f>F170+F171+F174+F173+F172</f>
        <v>399240855.87</v>
      </c>
      <c r="G169" s="108">
        <f>G170+G171+G174+G173+G172</f>
        <v>420442889.58</v>
      </c>
      <c r="H169" s="108">
        <f>H170+H171+H174+H173+H172</f>
        <v>422709839.27</v>
      </c>
    </row>
    <row r="170" spans="1:8" s="140" customFormat="1" ht="67.5">
      <c r="A170" s="48" t="s">
        <v>194</v>
      </c>
      <c r="B170" s="107" t="s">
        <v>362</v>
      </c>
      <c r="C170" s="107" t="s">
        <v>310</v>
      </c>
      <c r="D170" s="142" t="s">
        <v>203</v>
      </c>
      <c r="E170" s="98">
        <v>100</v>
      </c>
      <c r="F170" s="109">
        <f>'Приложение 2'!D29</f>
        <v>86905077.92</v>
      </c>
      <c r="G170" s="109">
        <f>'Приложение 2'!E29</f>
        <v>86586452</v>
      </c>
      <c r="H170" s="109">
        <f>'Приложение 2'!F29</f>
        <v>86122077</v>
      </c>
    </row>
    <row r="171" spans="1:8" s="140" customFormat="1" ht="33.75">
      <c r="A171" s="48" t="s">
        <v>195</v>
      </c>
      <c r="B171" s="107" t="s">
        <v>362</v>
      </c>
      <c r="C171" s="107" t="s">
        <v>310</v>
      </c>
      <c r="D171" s="142" t="s">
        <v>203</v>
      </c>
      <c r="E171" s="98">
        <v>200</v>
      </c>
      <c r="F171" s="109">
        <f>'Приложение 2'!D30</f>
        <v>61359123.00000001</v>
      </c>
      <c r="G171" s="109">
        <f>'Приложение 2'!E30</f>
        <v>63877575.51</v>
      </c>
      <c r="H171" s="109">
        <f>'Приложение 2'!F30</f>
        <v>63877575.51</v>
      </c>
    </row>
    <row r="172" spans="1:8" s="140" customFormat="1" ht="16.5">
      <c r="A172" s="48" t="s">
        <v>196</v>
      </c>
      <c r="B172" s="107" t="s">
        <v>362</v>
      </c>
      <c r="C172" s="107" t="s">
        <v>310</v>
      </c>
      <c r="D172" s="142" t="s">
        <v>203</v>
      </c>
      <c r="E172" s="98">
        <v>300</v>
      </c>
      <c r="F172" s="109">
        <f>'Приложение 2'!D31</f>
        <v>128992</v>
      </c>
      <c r="G172" s="109">
        <f>'Приложение 2'!E31</f>
        <v>0</v>
      </c>
      <c r="H172" s="109">
        <f>'Приложение 2'!F31</f>
        <v>0</v>
      </c>
    </row>
    <row r="173" spans="1:8" s="140" customFormat="1" ht="33.75">
      <c r="A173" s="46" t="s">
        <v>204</v>
      </c>
      <c r="B173" s="107" t="s">
        <v>362</v>
      </c>
      <c r="C173" s="107" t="s">
        <v>310</v>
      </c>
      <c r="D173" s="142" t="s">
        <v>203</v>
      </c>
      <c r="E173" s="98">
        <v>600</v>
      </c>
      <c r="F173" s="109">
        <f>'Приложение 2'!D32</f>
        <v>248921081.39999998</v>
      </c>
      <c r="G173" s="109">
        <f>'Приложение 2'!E32</f>
        <v>268409046.07</v>
      </c>
      <c r="H173" s="109">
        <f>'Приложение 2'!F32</f>
        <v>271140370.76</v>
      </c>
    </row>
    <row r="174" spans="1:8" s="140" customFormat="1" ht="16.5">
      <c r="A174" s="46" t="s">
        <v>197</v>
      </c>
      <c r="B174" s="107" t="s">
        <v>362</v>
      </c>
      <c r="C174" s="107" t="s">
        <v>310</v>
      </c>
      <c r="D174" s="142" t="s">
        <v>203</v>
      </c>
      <c r="E174" s="98">
        <v>800</v>
      </c>
      <c r="F174" s="109">
        <f>'Приложение 2'!D33</f>
        <v>1926581.55</v>
      </c>
      <c r="G174" s="109">
        <f>'Приложение 2'!E33</f>
        <v>1569816</v>
      </c>
      <c r="H174" s="109">
        <f>'Приложение 2'!F33</f>
        <v>1569816</v>
      </c>
    </row>
    <row r="175" spans="1:8" s="140" customFormat="1" ht="33.75">
      <c r="A175" s="66" t="s">
        <v>267</v>
      </c>
      <c r="B175" s="107" t="s">
        <v>362</v>
      </c>
      <c r="C175" s="107" t="s">
        <v>310</v>
      </c>
      <c r="D175" s="141" t="s">
        <v>268</v>
      </c>
      <c r="E175" s="101"/>
      <c r="F175" s="111">
        <f aca="true" t="shared" si="14" ref="F175:H176">F176</f>
        <v>67902277.06000002</v>
      </c>
      <c r="G175" s="111">
        <f t="shared" si="14"/>
        <v>0</v>
      </c>
      <c r="H175" s="111">
        <f t="shared" si="14"/>
        <v>0</v>
      </c>
    </row>
    <row r="176" spans="1:8" s="140" customFormat="1" ht="16.5">
      <c r="A176" s="46" t="s">
        <v>270</v>
      </c>
      <c r="B176" s="107" t="s">
        <v>362</v>
      </c>
      <c r="C176" s="107" t="s">
        <v>310</v>
      </c>
      <c r="D176" s="142" t="s">
        <v>271</v>
      </c>
      <c r="E176" s="98"/>
      <c r="F176" s="109">
        <f t="shared" si="14"/>
        <v>67902277.06000002</v>
      </c>
      <c r="G176" s="109">
        <f t="shared" si="14"/>
        <v>0</v>
      </c>
      <c r="H176" s="109">
        <f t="shared" si="14"/>
        <v>0</v>
      </c>
    </row>
    <row r="177" spans="1:15" s="140" customFormat="1" ht="33.75">
      <c r="A177" s="46" t="s">
        <v>272</v>
      </c>
      <c r="B177" s="107" t="s">
        <v>362</v>
      </c>
      <c r="C177" s="107" t="s">
        <v>310</v>
      </c>
      <c r="D177" s="142" t="s">
        <v>271</v>
      </c>
      <c r="E177" s="98">
        <v>400</v>
      </c>
      <c r="F177" s="109">
        <f>'Приложение 2'!D140-'Приложение 4'!F197-F62</f>
        <v>67902277.06000002</v>
      </c>
      <c r="G177" s="109">
        <f>'Приложение 2'!E140-'Приложение 4'!G197</f>
        <v>0</v>
      </c>
      <c r="H177" s="109">
        <f>'Приложение 2'!F140-'Приложение 4'!H197</f>
        <v>0</v>
      </c>
      <c r="O177" s="351"/>
    </row>
    <row r="178" spans="1:8" s="140" customFormat="1" ht="16.5">
      <c r="A178" s="70" t="s">
        <v>311</v>
      </c>
      <c r="B178" s="105" t="s">
        <v>362</v>
      </c>
      <c r="C178" s="105" t="s">
        <v>310</v>
      </c>
      <c r="D178" s="113" t="s">
        <v>312</v>
      </c>
      <c r="E178" s="101"/>
      <c r="F178" s="111">
        <f>F179</f>
        <v>60629269.00999998</v>
      </c>
      <c r="G178" s="111">
        <f>G179</f>
        <v>0</v>
      </c>
      <c r="H178" s="111">
        <f>H179</f>
        <v>0</v>
      </c>
    </row>
    <row r="179" spans="1:8" s="140" customFormat="1" ht="16.5">
      <c r="A179" s="48" t="s">
        <v>331</v>
      </c>
      <c r="B179" s="107" t="s">
        <v>362</v>
      </c>
      <c r="C179" s="107" t="s">
        <v>310</v>
      </c>
      <c r="D179" s="112" t="s">
        <v>332</v>
      </c>
      <c r="E179" s="98"/>
      <c r="F179" s="109">
        <f>SUM(F180:F182)</f>
        <v>60629269.00999998</v>
      </c>
      <c r="G179" s="109">
        <f>SUM(G180:G182)</f>
        <v>0</v>
      </c>
      <c r="H179" s="109">
        <f>SUM(H180:H182)</f>
        <v>0</v>
      </c>
    </row>
    <row r="180" spans="1:8" s="140" customFormat="1" ht="33.75">
      <c r="A180" s="48" t="s">
        <v>195</v>
      </c>
      <c r="B180" s="107" t="s">
        <v>362</v>
      </c>
      <c r="C180" s="107" t="s">
        <v>310</v>
      </c>
      <c r="D180" s="112" t="s">
        <v>332</v>
      </c>
      <c r="E180" s="98">
        <v>200</v>
      </c>
      <c r="F180" s="109">
        <f>'Приложение 3'!F164</f>
        <v>8073215.08</v>
      </c>
      <c r="G180" s="109">
        <f>'Приложение 3'!G164</f>
        <v>0</v>
      </c>
      <c r="H180" s="109">
        <f>'Приложение 3'!H164</f>
        <v>0</v>
      </c>
    </row>
    <row r="181" spans="1:8" s="140" customFormat="1" ht="33.75" hidden="1">
      <c r="A181" s="46" t="s">
        <v>272</v>
      </c>
      <c r="B181" s="107" t="s">
        <v>362</v>
      </c>
      <c r="C181" s="107" t="s">
        <v>310</v>
      </c>
      <c r="D181" s="112" t="s">
        <v>332</v>
      </c>
      <c r="E181" s="98">
        <v>400</v>
      </c>
      <c r="F181" s="109">
        <v>0</v>
      </c>
      <c r="G181" s="109">
        <v>0</v>
      </c>
      <c r="H181" s="109">
        <v>0</v>
      </c>
    </row>
    <row r="182" spans="1:8" s="140" customFormat="1" ht="33.75">
      <c r="A182" s="46" t="s">
        <v>204</v>
      </c>
      <c r="B182" s="107" t="s">
        <v>362</v>
      </c>
      <c r="C182" s="107" t="s">
        <v>310</v>
      </c>
      <c r="D182" s="112" t="s">
        <v>332</v>
      </c>
      <c r="E182" s="98">
        <v>600</v>
      </c>
      <c r="F182" s="109">
        <f>'Приложение 3'!F166</f>
        <v>52556053.929999985</v>
      </c>
      <c r="G182" s="109">
        <f>'Приложение 3'!G166</f>
        <v>0</v>
      </c>
      <c r="H182" s="109">
        <f>'Приложение 3'!H166</f>
        <v>0</v>
      </c>
    </row>
    <row r="183" spans="1:8" s="140" customFormat="1" ht="16.5">
      <c r="A183" s="66" t="s">
        <v>365</v>
      </c>
      <c r="B183" s="105" t="s">
        <v>362</v>
      </c>
      <c r="C183" s="105" t="s">
        <v>318</v>
      </c>
      <c r="D183" s="141"/>
      <c r="E183" s="101"/>
      <c r="F183" s="111">
        <f>F184+F189+F195+F198</f>
        <v>350233022.77</v>
      </c>
      <c r="G183" s="111">
        <f>G184+G189+G195+G198</f>
        <v>179150030.47</v>
      </c>
      <c r="H183" s="111">
        <f>H184+H189+H195+H198</f>
        <v>179407995.11</v>
      </c>
    </row>
    <row r="184" spans="1:8" s="140" customFormat="1" ht="16.5">
      <c r="A184" s="66" t="s">
        <v>190</v>
      </c>
      <c r="B184" s="105" t="s">
        <v>362</v>
      </c>
      <c r="C184" s="105" t="s">
        <v>318</v>
      </c>
      <c r="D184" s="141" t="s">
        <v>191</v>
      </c>
      <c r="E184" s="101"/>
      <c r="F184" s="111">
        <f>F185</f>
        <v>86916960.17</v>
      </c>
      <c r="G184" s="111">
        <f>G185</f>
        <v>81729230.47</v>
      </c>
      <c r="H184" s="111">
        <f>H185</f>
        <v>81987195.11</v>
      </c>
    </row>
    <row r="185" spans="1:8" s="138" customFormat="1" ht="16.5">
      <c r="A185" s="149" t="s">
        <v>205</v>
      </c>
      <c r="B185" s="107" t="s">
        <v>362</v>
      </c>
      <c r="C185" s="107" t="s">
        <v>318</v>
      </c>
      <c r="D185" s="142" t="s">
        <v>206</v>
      </c>
      <c r="E185" s="98"/>
      <c r="F185" s="108">
        <f>F186+F187+F188</f>
        <v>86916960.17</v>
      </c>
      <c r="G185" s="108">
        <f>G186+G187+G188</f>
        <v>81729230.47</v>
      </c>
      <c r="H185" s="108">
        <f>H186+H187+H188</f>
        <v>81987195.11</v>
      </c>
    </row>
    <row r="186" spans="1:8" s="140" customFormat="1" ht="67.5">
      <c r="A186" s="48" t="s">
        <v>194</v>
      </c>
      <c r="B186" s="107" t="s">
        <v>362</v>
      </c>
      <c r="C186" s="107" t="s">
        <v>318</v>
      </c>
      <c r="D186" s="142" t="s">
        <v>206</v>
      </c>
      <c r="E186" s="98">
        <v>100</v>
      </c>
      <c r="F186" s="108">
        <f>'Приложение 2'!D35</f>
        <v>73690806.08</v>
      </c>
      <c r="G186" s="108">
        <f>'Приложение 2'!E35</f>
        <v>74163704.13</v>
      </c>
      <c r="H186" s="108">
        <f>'Приложение 2'!F35</f>
        <v>74163704.13</v>
      </c>
    </row>
    <row r="187" spans="1:8" s="140" customFormat="1" ht="33.75">
      <c r="A187" s="48" t="s">
        <v>195</v>
      </c>
      <c r="B187" s="107" t="s">
        <v>362</v>
      </c>
      <c r="C187" s="107" t="s">
        <v>318</v>
      </c>
      <c r="D187" s="142" t="s">
        <v>206</v>
      </c>
      <c r="E187" s="98">
        <v>200</v>
      </c>
      <c r="F187" s="108">
        <f>'Приложение 2'!D36</f>
        <v>10626154.089999998</v>
      </c>
      <c r="G187" s="108">
        <f>'Приложение 2'!E36</f>
        <v>7565526.34</v>
      </c>
      <c r="H187" s="108">
        <f>'Приложение 2'!F36</f>
        <v>7823490.98</v>
      </c>
    </row>
    <row r="188" spans="1:8" s="140" customFormat="1" ht="16.5">
      <c r="A188" s="46" t="s">
        <v>197</v>
      </c>
      <c r="B188" s="107" t="s">
        <v>362</v>
      </c>
      <c r="C188" s="107" t="s">
        <v>318</v>
      </c>
      <c r="D188" s="142" t="s">
        <v>206</v>
      </c>
      <c r="E188" s="98">
        <v>800</v>
      </c>
      <c r="F188" s="108">
        <f>'Приложение 2'!D37</f>
        <v>2600000</v>
      </c>
      <c r="G188" s="108">
        <f>'Приложение 2'!E37</f>
        <v>0</v>
      </c>
      <c r="H188" s="108">
        <f>'Приложение 2'!F37</f>
        <v>0</v>
      </c>
    </row>
    <row r="189" spans="1:8" s="140" customFormat="1" ht="16.5">
      <c r="A189" s="66" t="s">
        <v>209</v>
      </c>
      <c r="B189" s="105" t="s">
        <v>362</v>
      </c>
      <c r="C189" s="105" t="s">
        <v>318</v>
      </c>
      <c r="D189" s="141" t="s">
        <v>191</v>
      </c>
      <c r="E189" s="101"/>
      <c r="F189" s="106">
        <f>F190</f>
        <v>92936072.15</v>
      </c>
      <c r="G189" s="106">
        <f>G190</f>
        <v>97420800</v>
      </c>
      <c r="H189" s="106">
        <f>H190</f>
        <v>97420800</v>
      </c>
    </row>
    <row r="190" spans="1:8" s="140" customFormat="1" ht="16.5">
      <c r="A190" s="46" t="s">
        <v>205</v>
      </c>
      <c r="B190" s="107" t="s">
        <v>362</v>
      </c>
      <c r="C190" s="107" t="s">
        <v>318</v>
      </c>
      <c r="D190" s="142" t="s">
        <v>206</v>
      </c>
      <c r="E190" s="98"/>
      <c r="F190" s="108">
        <f>F191+F192+F194+F193</f>
        <v>92936072.15</v>
      </c>
      <c r="G190" s="108">
        <f>G191+G192+G194+G193</f>
        <v>97420800</v>
      </c>
      <c r="H190" s="108">
        <f>H191+H192+H194+H193</f>
        <v>97420800</v>
      </c>
    </row>
    <row r="191" spans="1:8" s="140" customFormat="1" ht="67.5">
      <c r="A191" s="48" t="s">
        <v>194</v>
      </c>
      <c r="B191" s="107" t="s">
        <v>362</v>
      </c>
      <c r="C191" s="107" t="s">
        <v>318</v>
      </c>
      <c r="D191" s="142" t="s">
        <v>206</v>
      </c>
      <c r="E191" s="98">
        <v>100</v>
      </c>
      <c r="F191" s="109">
        <f>'Приложение 2'!D67</f>
        <v>85465032.15</v>
      </c>
      <c r="G191" s="109">
        <f>'Приложение 2'!E67</f>
        <v>86918500</v>
      </c>
      <c r="H191" s="109">
        <f>'Приложение 2'!F67</f>
        <v>86918500</v>
      </c>
    </row>
    <row r="192" spans="1:8" s="140" customFormat="1" ht="33.75">
      <c r="A192" s="48" t="s">
        <v>195</v>
      </c>
      <c r="B192" s="107" t="s">
        <v>362</v>
      </c>
      <c r="C192" s="107" t="s">
        <v>318</v>
      </c>
      <c r="D192" s="142" t="s">
        <v>206</v>
      </c>
      <c r="E192" s="98">
        <v>200</v>
      </c>
      <c r="F192" s="109">
        <f>'Приложение 2'!D68</f>
        <v>6877237.37</v>
      </c>
      <c r="G192" s="109">
        <f>'Приложение 2'!E68</f>
        <v>10476500</v>
      </c>
      <c r="H192" s="109">
        <f>'Приложение 2'!F68</f>
        <v>10476500</v>
      </c>
    </row>
    <row r="193" spans="1:8" s="140" customFormat="1" ht="16.5">
      <c r="A193" s="48" t="s">
        <v>196</v>
      </c>
      <c r="B193" s="107" t="s">
        <v>362</v>
      </c>
      <c r="C193" s="107" t="s">
        <v>318</v>
      </c>
      <c r="D193" s="142" t="s">
        <v>206</v>
      </c>
      <c r="E193" s="98">
        <v>300</v>
      </c>
      <c r="F193" s="109">
        <f>'Приложение 2'!D69</f>
        <v>429492.63</v>
      </c>
      <c r="G193" s="109">
        <f>'Приложение 2'!E69</f>
        <v>0</v>
      </c>
      <c r="H193" s="109">
        <f>'Приложение 2'!F69</f>
        <v>0</v>
      </c>
    </row>
    <row r="194" spans="1:8" s="140" customFormat="1" ht="16.5">
      <c r="A194" s="46" t="s">
        <v>197</v>
      </c>
      <c r="B194" s="107" t="s">
        <v>362</v>
      </c>
      <c r="C194" s="107" t="s">
        <v>318</v>
      </c>
      <c r="D194" s="142" t="s">
        <v>206</v>
      </c>
      <c r="E194" s="98">
        <v>800</v>
      </c>
      <c r="F194" s="109">
        <f>'Приложение 2'!D70</f>
        <v>164310</v>
      </c>
      <c r="G194" s="109">
        <f>'Приложение 2'!E70</f>
        <v>25800</v>
      </c>
      <c r="H194" s="109">
        <f>'Приложение 2'!F70</f>
        <v>25800</v>
      </c>
    </row>
    <row r="195" spans="1:8" s="140" customFormat="1" ht="33.75">
      <c r="A195" s="66" t="s">
        <v>267</v>
      </c>
      <c r="B195" s="107" t="s">
        <v>362</v>
      </c>
      <c r="C195" s="107" t="s">
        <v>318</v>
      </c>
      <c r="D195" s="141" t="s">
        <v>268</v>
      </c>
      <c r="E195" s="98"/>
      <c r="F195" s="109">
        <f aca="true" t="shared" si="15" ref="F195:H196">F196</f>
        <v>170080852.59</v>
      </c>
      <c r="G195" s="109">
        <f t="shared" si="15"/>
        <v>0</v>
      </c>
      <c r="H195" s="109">
        <f t="shared" si="15"/>
        <v>0</v>
      </c>
    </row>
    <row r="196" spans="1:8" s="140" customFormat="1" ht="16.5">
      <c r="A196" s="46" t="s">
        <v>270</v>
      </c>
      <c r="B196" s="107" t="s">
        <v>362</v>
      </c>
      <c r="C196" s="107" t="s">
        <v>318</v>
      </c>
      <c r="D196" s="142" t="s">
        <v>271</v>
      </c>
      <c r="E196" s="98"/>
      <c r="F196" s="109">
        <f t="shared" si="15"/>
        <v>170080852.59</v>
      </c>
      <c r="G196" s="109">
        <f t="shared" si="15"/>
        <v>0</v>
      </c>
      <c r="H196" s="109">
        <f t="shared" si="15"/>
        <v>0</v>
      </c>
    </row>
    <row r="197" spans="1:15" s="140" customFormat="1" ht="33.75">
      <c r="A197" s="46" t="s">
        <v>272</v>
      </c>
      <c r="B197" s="107" t="s">
        <v>362</v>
      </c>
      <c r="C197" s="107" t="s">
        <v>318</v>
      </c>
      <c r="D197" s="142" t="s">
        <v>271</v>
      </c>
      <c r="E197" s="98">
        <v>400</v>
      </c>
      <c r="F197" s="109">
        <f>218357573.58-30105767.39-13072917.63-5098035.97</f>
        <v>170080852.59</v>
      </c>
      <c r="G197" s="109">
        <v>0</v>
      </c>
      <c r="H197" s="109">
        <v>0</v>
      </c>
      <c r="O197" s="351"/>
    </row>
    <row r="198" spans="1:8" s="140" customFormat="1" ht="16.5">
      <c r="A198" s="70" t="s">
        <v>311</v>
      </c>
      <c r="B198" s="107" t="s">
        <v>362</v>
      </c>
      <c r="C198" s="107" t="s">
        <v>318</v>
      </c>
      <c r="D198" s="113" t="s">
        <v>312</v>
      </c>
      <c r="E198" s="98"/>
      <c r="F198" s="111">
        <f aca="true" t="shared" si="16" ref="F198:H199">F199</f>
        <v>299137.86</v>
      </c>
      <c r="G198" s="111">
        <f t="shared" si="16"/>
        <v>0</v>
      </c>
      <c r="H198" s="111">
        <f t="shared" si="16"/>
        <v>0</v>
      </c>
    </row>
    <row r="199" spans="1:8" s="140" customFormat="1" ht="16.5">
      <c r="A199" s="48" t="s">
        <v>331</v>
      </c>
      <c r="B199" s="107" t="s">
        <v>362</v>
      </c>
      <c r="C199" s="107" t="s">
        <v>318</v>
      </c>
      <c r="D199" s="112" t="s">
        <v>332</v>
      </c>
      <c r="E199" s="98"/>
      <c r="F199" s="109">
        <f t="shared" si="16"/>
        <v>299137.86</v>
      </c>
      <c r="G199" s="109">
        <f t="shared" si="16"/>
        <v>0</v>
      </c>
      <c r="H199" s="109">
        <f t="shared" si="16"/>
        <v>0</v>
      </c>
    </row>
    <row r="200" spans="1:8" s="140" customFormat="1" ht="33.75">
      <c r="A200" s="48" t="s">
        <v>195</v>
      </c>
      <c r="B200" s="107" t="s">
        <v>362</v>
      </c>
      <c r="C200" s="107" t="s">
        <v>318</v>
      </c>
      <c r="D200" s="142" t="s">
        <v>332</v>
      </c>
      <c r="E200" s="98">
        <v>200</v>
      </c>
      <c r="F200" s="109">
        <f>'Приложение 3'!F171</f>
        <v>299137.86</v>
      </c>
      <c r="G200" s="109">
        <f>'Приложение 3'!G171</f>
        <v>0</v>
      </c>
      <c r="H200" s="109">
        <f>'Приложение 3'!H171</f>
        <v>0</v>
      </c>
    </row>
    <row r="201" spans="1:8" s="140" customFormat="1" ht="16.5">
      <c r="A201" s="66" t="s">
        <v>411</v>
      </c>
      <c r="B201" s="105" t="s">
        <v>362</v>
      </c>
      <c r="C201" s="105" t="s">
        <v>362</v>
      </c>
      <c r="D201" s="101"/>
      <c r="E201" s="101"/>
      <c r="F201" s="106">
        <f>F202+F217</f>
        <v>97358716.47</v>
      </c>
      <c r="G201" s="106">
        <f>G202+G217</f>
        <v>82727641.4</v>
      </c>
      <c r="H201" s="106">
        <f>H202+H217</f>
        <v>82727641.4</v>
      </c>
    </row>
    <row r="202" spans="1:8" s="140" customFormat="1" ht="33.75">
      <c r="A202" s="66" t="s">
        <v>412</v>
      </c>
      <c r="B202" s="105" t="s">
        <v>362</v>
      </c>
      <c r="C202" s="105" t="s">
        <v>362</v>
      </c>
      <c r="D202" s="141" t="s">
        <v>242</v>
      </c>
      <c r="E202" s="101"/>
      <c r="F202" s="106">
        <f>F203+F206+F215+F210</f>
        <v>29991589.900000002</v>
      </c>
      <c r="G202" s="106">
        <f>G203+G206+G215+G210</f>
        <v>29675883.55</v>
      </c>
      <c r="H202" s="106">
        <f>H203+H206+H215+H210</f>
        <v>29675883.55</v>
      </c>
    </row>
    <row r="203" spans="1:8" s="140" customFormat="1" ht="16.5">
      <c r="A203" s="46" t="s">
        <v>192</v>
      </c>
      <c r="B203" s="107" t="s">
        <v>362</v>
      </c>
      <c r="C203" s="107" t="s">
        <v>362</v>
      </c>
      <c r="D203" s="142" t="s">
        <v>243</v>
      </c>
      <c r="E203" s="98"/>
      <c r="F203" s="108">
        <f>SUM(F204:F205)</f>
        <v>17938102.19</v>
      </c>
      <c r="G203" s="108">
        <f>SUM(G204:G205)</f>
        <v>14522840.35</v>
      </c>
      <c r="H203" s="108">
        <f>SUM(H204:H205)</f>
        <v>14522840.35</v>
      </c>
    </row>
    <row r="204" spans="1:8" s="140" customFormat="1" ht="67.5">
      <c r="A204" s="46" t="s">
        <v>194</v>
      </c>
      <c r="B204" s="107" t="s">
        <v>362</v>
      </c>
      <c r="C204" s="107" t="s">
        <v>362</v>
      </c>
      <c r="D204" s="142" t="s">
        <v>243</v>
      </c>
      <c r="E204" s="98">
        <v>100</v>
      </c>
      <c r="F204" s="108">
        <f>'Приложение 2'!D101</f>
        <v>15957188.89</v>
      </c>
      <c r="G204" s="108">
        <f>'Приложение 2'!E101</f>
        <v>13523598.93</v>
      </c>
      <c r="H204" s="108">
        <f>'Приложение 2'!F101</f>
        <v>13523598.93</v>
      </c>
    </row>
    <row r="205" spans="1:8" s="140" customFormat="1" ht="33.75">
      <c r="A205" s="48" t="s">
        <v>195</v>
      </c>
      <c r="B205" s="107" t="s">
        <v>362</v>
      </c>
      <c r="C205" s="107" t="s">
        <v>362</v>
      </c>
      <c r="D205" s="142" t="s">
        <v>243</v>
      </c>
      <c r="E205" s="98">
        <v>200</v>
      </c>
      <c r="F205" s="108">
        <f>'Приложение 2'!D102</f>
        <v>1980913.2999999998</v>
      </c>
      <c r="G205" s="108">
        <f>'Приложение 2'!E102</f>
        <v>999241.42</v>
      </c>
      <c r="H205" s="108">
        <f>'Приложение 2'!F102</f>
        <v>999241.42</v>
      </c>
    </row>
    <row r="206" spans="1:10" s="151" customFormat="1" ht="33.75">
      <c r="A206" s="46" t="s">
        <v>244</v>
      </c>
      <c r="B206" s="107" t="s">
        <v>362</v>
      </c>
      <c r="C206" s="107" t="s">
        <v>362</v>
      </c>
      <c r="D206" s="142" t="s">
        <v>245</v>
      </c>
      <c r="E206" s="98"/>
      <c r="F206" s="108">
        <f>F207+F208+F209</f>
        <v>10269397.62</v>
      </c>
      <c r="G206" s="108">
        <f>G207+G208+G209</f>
        <v>13290057.32</v>
      </c>
      <c r="H206" s="108">
        <f>H207+H208+H209</f>
        <v>13290057.32</v>
      </c>
      <c r="I206" s="150"/>
      <c r="J206" s="150"/>
    </row>
    <row r="207" spans="1:10" s="151" customFormat="1" ht="67.5">
      <c r="A207" s="46" t="s">
        <v>194</v>
      </c>
      <c r="B207" s="107" t="s">
        <v>362</v>
      </c>
      <c r="C207" s="107" t="s">
        <v>362</v>
      </c>
      <c r="D207" s="142" t="s">
        <v>245</v>
      </c>
      <c r="E207" s="98">
        <v>100</v>
      </c>
      <c r="F207" s="108">
        <f>'Приложение 2'!D104</f>
        <v>457203.75</v>
      </c>
      <c r="G207" s="108">
        <f>'Приложение 2'!E104</f>
        <v>475491.9</v>
      </c>
      <c r="H207" s="108">
        <f>'Приложение 2'!F104</f>
        <v>475491.9</v>
      </c>
      <c r="I207" s="150"/>
      <c r="J207" s="150"/>
    </row>
    <row r="208" spans="1:8" s="151" customFormat="1" ht="33.75">
      <c r="A208" s="48" t="s">
        <v>195</v>
      </c>
      <c r="B208" s="107" t="s">
        <v>362</v>
      </c>
      <c r="C208" s="107" t="s">
        <v>362</v>
      </c>
      <c r="D208" s="142" t="s">
        <v>245</v>
      </c>
      <c r="E208" s="98">
        <v>200</v>
      </c>
      <c r="F208" s="108">
        <f>'Приложение 2'!D105</f>
        <v>3726743.8699999996</v>
      </c>
      <c r="G208" s="108">
        <f>'Приложение 2'!E105</f>
        <v>3865609.31</v>
      </c>
      <c r="H208" s="108">
        <f>'Приложение 2'!F105</f>
        <v>3865609.31</v>
      </c>
    </row>
    <row r="209" spans="1:8" s="151" customFormat="1" ht="16.5">
      <c r="A209" s="46" t="s">
        <v>196</v>
      </c>
      <c r="B209" s="107" t="s">
        <v>362</v>
      </c>
      <c r="C209" s="107" t="s">
        <v>362</v>
      </c>
      <c r="D209" s="142" t="s">
        <v>245</v>
      </c>
      <c r="E209" s="98">
        <v>300</v>
      </c>
      <c r="F209" s="108">
        <f>'Приложение 2'!D106</f>
        <v>6085450</v>
      </c>
      <c r="G209" s="108">
        <f>'Приложение 2'!E106</f>
        <v>8948956.11</v>
      </c>
      <c r="H209" s="108">
        <f>'Приложение 2'!F106</f>
        <v>8948956.11</v>
      </c>
    </row>
    <row r="210" spans="1:8" s="151" customFormat="1" ht="33.75">
      <c r="A210" s="46" t="s">
        <v>246</v>
      </c>
      <c r="B210" s="107" t="s">
        <v>362</v>
      </c>
      <c r="C210" s="107" t="s">
        <v>362</v>
      </c>
      <c r="D210" s="142" t="s">
        <v>247</v>
      </c>
      <c r="E210" s="98"/>
      <c r="F210" s="108">
        <f>F211+F212+F213+F214</f>
        <v>782796.2</v>
      </c>
      <c r="G210" s="108">
        <f>G211+G212+G213+G214</f>
        <v>829984.79</v>
      </c>
      <c r="H210" s="108">
        <f>H211+H212+H213+H214</f>
        <v>829984.79</v>
      </c>
    </row>
    <row r="211" spans="1:8" s="151" customFormat="1" ht="33.75">
      <c r="A211" s="48" t="s">
        <v>195</v>
      </c>
      <c r="B211" s="107" t="s">
        <v>362</v>
      </c>
      <c r="C211" s="107" t="s">
        <v>362</v>
      </c>
      <c r="D211" s="142" t="s">
        <v>247</v>
      </c>
      <c r="E211" s="98">
        <v>200</v>
      </c>
      <c r="F211" s="108">
        <f>'Приложение 2'!D108</f>
        <v>263172.2</v>
      </c>
      <c r="G211" s="108">
        <f>'Приложение 2'!E108</f>
        <v>272138.11</v>
      </c>
      <c r="H211" s="108">
        <f>'Приложение 2'!F108</f>
        <v>272138.11</v>
      </c>
    </row>
    <row r="212" spans="1:8" s="151" customFormat="1" ht="16.5">
      <c r="A212" s="46" t="s">
        <v>196</v>
      </c>
      <c r="B212" s="107" t="s">
        <v>362</v>
      </c>
      <c r="C212" s="107" t="s">
        <v>362</v>
      </c>
      <c r="D212" s="142" t="s">
        <v>247</v>
      </c>
      <c r="E212" s="98">
        <v>300</v>
      </c>
      <c r="F212" s="108">
        <f>'Приложение 2'!D109</f>
        <v>519624</v>
      </c>
      <c r="G212" s="108">
        <f>'Приложение 2'!E109</f>
        <v>186531.68</v>
      </c>
      <c r="H212" s="108">
        <f>'Приложение 2'!F109</f>
        <v>186531.68</v>
      </c>
    </row>
    <row r="213" spans="1:8" s="151" customFormat="1" ht="33.75">
      <c r="A213" s="46" t="s">
        <v>204</v>
      </c>
      <c r="B213" s="107" t="s">
        <v>362</v>
      </c>
      <c r="C213" s="107" t="s">
        <v>362</v>
      </c>
      <c r="D213" s="142" t="s">
        <v>247</v>
      </c>
      <c r="E213" s="98">
        <v>600</v>
      </c>
      <c r="F213" s="108">
        <f>'Приложение 2'!D110</f>
        <v>0</v>
      </c>
      <c r="G213" s="108">
        <f>'Приложение 2'!E110</f>
        <v>371315</v>
      </c>
      <c r="H213" s="108">
        <f>'Приложение 2'!F110</f>
        <v>371315</v>
      </c>
    </row>
    <row r="214" spans="1:8" s="151" customFormat="1" ht="16.5" hidden="1">
      <c r="A214" s="46" t="s">
        <v>197</v>
      </c>
      <c r="B214" s="107" t="s">
        <v>362</v>
      </c>
      <c r="C214" s="107" t="s">
        <v>362</v>
      </c>
      <c r="D214" s="142" t="s">
        <v>247</v>
      </c>
      <c r="E214" s="98">
        <v>800</v>
      </c>
      <c r="F214" s="108">
        <f>'[1]Приложение 2'!D106</f>
        <v>0</v>
      </c>
      <c r="G214" s="108">
        <f>'[1]Приложение 2'!E106</f>
        <v>0</v>
      </c>
      <c r="H214" s="108">
        <f>'[1]Приложение 2'!F106</f>
        <v>0</v>
      </c>
    </row>
    <row r="215" spans="1:8" s="151" customFormat="1" ht="33.75">
      <c r="A215" s="48" t="s">
        <v>413</v>
      </c>
      <c r="B215" s="107" t="s">
        <v>362</v>
      </c>
      <c r="C215" s="107" t="s">
        <v>362</v>
      </c>
      <c r="D215" s="107" t="s">
        <v>251</v>
      </c>
      <c r="E215" s="107"/>
      <c r="F215" s="108">
        <f>F216</f>
        <v>1001293.89</v>
      </c>
      <c r="G215" s="108">
        <f>G216</f>
        <v>1033001.09</v>
      </c>
      <c r="H215" s="108">
        <f>H216</f>
        <v>1033001.09</v>
      </c>
    </row>
    <row r="216" spans="1:8" s="151" customFormat="1" ht="33.75">
      <c r="A216" s="48" t="s">
        <v>195</v>
      </c>
      <c r="B216" s="107" t="s">
        <v>362</v>
      </c>
      <c r="C216" s="107" t="s">
        <v>362</v>
      </c>
      <c r="D216" s="107" t="s">
        <v>251</v>
      </c>
      <c r="E216" s="107" t="s">
        <v>252</v>
      </c>
      <c r="F216" s="108">
        <f>'Приложение 2'!D116</f>
        <v>1001293.89</v>
      </c>
      <c r="G216" s="108">
        <f>'Приложение 2'!E116</f>
        <v>1033001.09</v>
      </c>
      <c r="H216" s="108">
        <f>'Приложение 2'!F116</f>
        <v>1033001.09</v>
      </c>
    </row>
    <row r="217" spans="1:8" s="151" customFormat="1" ht="16.5">
      <c r="A217" s="66" t="s">
        <v>414</v>
      </c>
      <c r="B217" s="105" t="s">
        <v>362</v>
      </c>
      <c r="C217" s="105" t="s">
        <v>362</v>
      </c>
      <c r="D217" s="141" t="s">
        <v>191</v>
      </c>
      <c r="E217" s="101"/>
      <c r="F217" s="106">
        <f>F218</f>
        <v>67367126.57</v>
      </c>
      <c r="G217" s="106">
        <f>G218</f>
        <v>53051757.85</v>
      </c>
      <c r="H217" s="106">
        <f>H218</f>
        <v>53051757.85</v>
      </c>
    </row>
    <row r="218" spans="1:8" s="151" customFormat="1" ht="16.5">
      <c r="A218" s="46" t="s">
        <v>207</v>
      </c>
      <c r="B218" s="107" t="s">
        <v>362</v>
      </c>
      <c r="C218" s="107" t="s">
        <v>362</v>
      </c>
      <c r="D218" s="142" t="s">
        <v>208</v>
      </c>
      <c r="E218" s="98"/>
      <c r="F218" s="108">
        <f>SUM(F219:F223)</f>
        <v>67367126.57</v>
      </c>
      <c r="G218" s="108">
        <f>SUM(G219:G223)</f>
        <v>53051757.85</v>
      </c>
      <c r="H218" s="108">
        <f>SUM(H219:H223)</f>
        <v>53051757.85</v>
      </c>
    </row>
    <row r="219" spans="1:8" s="151" customFormat="1" ht="67.5">
      <c r="A219" s="46" t="s">
        <v>194</v>
      </c>
      <c r="B219" s="107" t="s">
        <v>362</v>
      </c>
      <c r="C219" s="107" t="s">
        <v>362</v>
      </c>
      <c r="D219" s="142" t="s">
        <v>208</v>
      </c>
      <c r="E219" s="98">
        <v>100</v>
      </c>
      <c r="F219" s="108">
        <f>'Приложение 2'!D39</f>
        <v>13923945.26</v>
      </c>
      <c r="G219" s="108">
        <f>'Приложение 2'!E39</f>
        <v>0</v>
      </c>
      <c r="H219" s="108">
        <f>'Приложение 2'!F39</f>
        <v>0</v>
      </c>
    </row>
    <row r="220" spans="1:8" s="151" customFormat="1" ht="33.75">
      <c r="A220" s="48" t="s">
        <v>195</v>
      </c>
      <c r="B220" s="107" t="s">
        <v>362</v>
      </c>
      <c r="C220" s="107" t="s">
        <v>362</v>
      </c>
      <c r="D220" s="142" t="s">
        <v>208</v>
      </c>
      <c r="E220" s="98">
        <v>200</v>
      </c>
      <c r="F220" s="108">
        <f>'Приложение 2'!D40</f>
        <v>22862657.770000003</v>
      </c>
      <c r="G220" s="108">
        <f>'Приложение 2'!E40</f>
        <v>0</v>
      </c>
      <c r="H220" s="108">
        <f>'Приложение 2'!F40</f>
        <v>0</v>
      </c>
    </row>
    <row r="221" spans="1:8" s="151" customFormat="1" ht="16.5">
      <c r="A221" s="48" t="s">
        <v>196</v>
      </c>
      <c r="B221" s="107" t="s">
        <v>362</v>
      </c>
      <c r="C221" s="107" t="s">
        <v>362</v>
      </c>
      <c r="D221" s="142" t="s">
        <v>208</v>
      </c>
      <c r="E221" s="98">
        <v>300</v>
      </c>
      <c r="F221" s="108"/>
      <c r="G221" s="108"/>
      <c r="H221" s="108"/>
    </row>
    <row r="222" spans="1:8" s="151" customFormat="1" ht="33.75">
      <c r="A222" s="46" t="s">
        <v>204</v>
      </c>
      <c r="B222" s="107" t="s">
        <v>362</v>
      </c>
      <c r="C222" s="107" t="s">
        <v>362</v>
      </c>
      <c r="D222" s="142" t="s">
        <v>208</v>
      </c>
      <c r="E222" s="98">
        <v>600</v>
      </c>
      <c r="F222" s="108">
        <f>'Приложение 2'!D42</f>
        <v>30580523.54</v>
      </c>
      <c r="G222" s="108">
        <f>'Приложение 2'!E42</f>
        <v>14026991.85</v>
      </c>
      <c r="H222" s="108">
        <f>'Приложение 2'!F42</f>
        <v>14026991.85</v>
      </c>
    </row>
    <row r="223" spans="1:8" s="151" customFormat="1" ht="16.5">
      <c r="A223" s="46" t="s">
        <v>197</v>
      </c>
      <c r="B223" s="107" t="s">
        <v>362</v>
      </c>
      <c r="C223" s="107" t="s">
        <v>362</v>
      </c>
      <c r="D223" s="142" t="s">
        <v>208</v>
      </c>
      <c r="E223" s="98">
        <v>800</v>
      </c>
      <c r="F223" s="108">
        <f>'Приложение 2'!D43</f>
        <v>0</v>
      </c>
      <c r="G223" s="108">
        <f>'Приложение 2'!E43</f>
        <v>39024766</v>
      </c>
      <c r="H223" s="108">
        <f>'Приложение 2'!F43</f>
        <v>39024766</v>
      </c>
    </row>
    <row r="224" spans="1:8" s="152" customFormat="1" ht="16.5">
      <c r="A224" s="66" t="s">
        <v>366</v>
      </c>
      <c r="B224" s="105" t="s">
        <v>362</v>
      </c>
      <c r="C224" s="105" t="s">
        <v>367</v>
      </c>
      <c r="D224" s="101"/>
      <c r="E224" s="101"/>
      <c r="F224" s="106">
        <f>F225+F231</f>
        <v>65280966.15</v>
      </c>
      <c r="G224" s="106">
        <f>G225</f>
        <v>83274533</v>
      </c>
      <c r="H224" s="106">
        <f>H225</f>
        <v>83274533</v>
      </c>
    </row>
    <row r="225" spans="1:8" s="152" customFormat="1" ht="16.5">
      <c r="A225" s="66" t="s">
        <v>190</v>
      </c>
      <c r="B225" s="105" t="s">
        <v>362</v>
      </c>
      <c r="C225" s="105" t="s">
        <v>367</v>
      </c>
      <c r="D225" s="141" t="s">
        <v>191</v>
      </c>
      <c r="E225" s="101"/>
      <c r="F225" s="106">
        <f>F226</f>
        <v>65230966.15</v>
      </c>
      <c r="G225" s="106">
        <f>G226</f>
        <v>83274533</v>
      </c>
      <c r="H225" s="106">
        <f>H226</f>
        <v>83274533</v>
      </c>
    </row>
    <row r="226" spans="1:8" s="152" customFormat="1" ht="16.5">
      <c r="A226" s="46" t="s">
        <v>415</v>
      </c>
      <c r="B226" s="107" t="s">
        <v>362</v>
      </c>
      <c r="C226" s="107" t="s">
        <v>367</v>
      </c>
      <c r="D226" s="142" t="s">
        <v>193</v>
      </c>
      <c r="E226" s="98"/>
      <c r="F226" s="108">
        <f>SUM(F227:F230)</f>
        <v>65230966.15</v>
      </c>
      <c r="G226" s="108">
        <f>SUM(G227:G230)</f>
        <v>83274533</v>
      </c>
      <c r="H226" s="108">
        <f>SUM(H227:H230)</f>
        <v>83274533</v>
      </c>
    </row>
    <row r="227" spans="1:8" s="152" customFormat="1" ht="67.5">
      <c r="A227" s="46" t="s">
        <v>194</v>
      </c>
      <c r="B227" s="107" t="s">
        <v>362</v>
      </c>
      <c r="C227" s="107" t="s">
        <v>367</v>
      </c>
      <c r="D227" s="142" t="s">
        <v>193</v>
      </c>
      <c r="E227" s="98">
        <v>100</v>
      </c>
      <c r="F227" s="137">
        <f>'Приложение 2'!D18</f>
        <v>43295487.11</v>
      </c>
      <c r="G227" s="137">
        <f>'Приложение 2'!E18</f>
        <v>51577456</v>
      </c>
      <c r="H227" s="137">
        <f>'Приложение 2'!F18</f>
        <v>51577456</v>
      </c>
    </row>
    <row r="228" spans="1:8" s="152" customFormat="1" ht="33.75">
      <c r="A228" s="48" t="s">
        <v>195</v>
      </c>
      <c r="B228" s="107" t="s">
        <v>362</v>
      </c>
      <c r="C228" s="107" t="s">
        <v>367</v>
      </c>
      <c r="D228" s="142" t="s">
        <v>193</v>
      </c>
      <c r="E228" s="98">
        <v>200</v>
      </c>
      <c r="F228" s="137">
        <f>'Приложение 2'!D19</f>
        <v>9979362.94</v>
      </c>
      <c r="G228" s="137">
        <f>'Приложение 2'!E19</f>
        <v>11142077</v>
      </c>
      <c r="H228" s="137">
        <f>'Приложение 2'!F19</f>
        <v>11142077</v>
      </c>
    </row>
    <row r="229" spans="1:8" s="153" customFormat="1" ht="16.5">
      <c r="A229" s="46" t="s">
        <v>196</v>
      </c>
      <c r="B229" s="107" t="s">
        <v>362</v>
      </c>
      <c r="C229" s="107" t="s">
        <v>367</v>
      </c>
      <c r="D229" s="142" t="s">
        <v>193</v>
      </c>
      <c r="E229" s="98">
        <v>300</v>
      </c>
      <c r="F229" s="137">
        <f>'Приложение 2'!D20</f>
        <v>11956116.1</v>
      </c>
      <c r="G229" s="137">
        <f>'Приложение 2'!E20</f>
        <v>16555000</v>
      </c>
      <c r="H229" s="137">
        <f>'Приложение 2'!F20</f>
        <v>16555000</v>
      </c>
    </row>
    <row r="230" spans="1:8" s="153" customFormat="1" ht="16.5">
      <c r="A230" s="46" t="s">
        <v>197</v>
      </c>
      <c r="B230" s="107" t="s">
        <v>362</v>
      </c>
      <c r="C230" s="107" t="s">
        <v>367</v>
      </c>
      <c r="D230" s="142" t="s">
        <v>193</v>
      </c>
      <c r="E230" s="98">
        <v>800</v>
      </c>
      <c r="F230" s="137">
        <f>'Приложение 2'!D21</f>
        <v>0</v>
      </c>
      <c r="G230" s="137">
        <f>'Приложение 2'!E21</f>
        <v>4000000</v>
      </c>
      <c r="H230" s="137">
        <f>'Приложение 2'!F21</f>
        <v>4000000</v>
      </c>
    </row>
    <row r="231" spans="1:8" s="153" customFormat="1" ht="16.5">
      <c r="A231" s="70" t="s">
        <v>311</v>
      </c>
      <c r="B231" s="107" t="s">
        <v>362</v>
      </c>
      <c r="C231" s="107" t="s">
        <v>367</v>
      </c>
      <c r="D231" s="113" t="s">
        <v>312</v>
      </c>
      <c r="E231" s="101"/>
      <c r="F231" s="137">
        <f aca="true" t="shared" si="17" ref="F231:H232">F232</f>
        <v>50000</v>
      </c>
      <c r="G231" s="137">
        <f t="shared" si="17"/>
        <v>0</v>
      </c>
      <c r="H231" s="137">
        <f t="shared" si="17"/>
        <v>0</v>
      </c>
    </row>
    <row r="232" spans="1:8" s="153" customFormat="1" ht="16.5">
      <c r="A232" s="48" t="s">
        <v>331</v>
      </c>
      <c r="B232" s="107" t="s">
        <v>362</v>
      </c>
      <c r="C232" s="107" t="s">
        <v>367</v>
      </c>
      <c r="D232" s="112" t="s">
        <v>332</v>
      </c>
      <c r="E232" s="98"/>
      <c r="F232" s="137">
        <f t="shared" si="17"/>
        <v>50000</v>
      </c>
      <c r="G232" s="137">
        <f t="shared" si="17"/>
        <v>0</v>
      </c>
      <c r="H232" s="137">
        <f t="shared" si="17"/>
        <v>0</v>
      </c>
    </row>
    <row r="233" spans="1:8" s="153" customFormat="1" ht="33.75">
      <c r="A233" s="48" t="s">
        <v>195</v>
      </c>
      <c r="B233" s="107" t="s">
        <v>362</v>
      </c>
      <c r="C233" s="107" t="s">
        <v>367</v>
      </c>
      <c r="D233" s="112" t="s">
        <v>332</v>
      </c>
      <c r="E233" s="98">
        <v>200</v>
      </c>
      <c r="F233" s="137">
        <f>'Приложение 3'!F176</f>
        <v>50000</v>
      </c>
      <c r="G233" s="137">
        <f>'Приложение 3'!G176</f>
        <v>0</v>
      </c>
      <c r="H233" s="137">
        <f>'Приложение 3'!H176</f>
        <v>0</v>
      </c>
    </row>
    <row r="234" spans="1:8" s="152" customFormat="1" ht="16.5">
      <c r="A234" s="66" t="s">
        <v>368</v>
      </c>
      <c r="B234" s="105" t="s">
        <v>369</v>
      </c>
      <c r="C234" s="105"/>
      <c r="D234" s="101"/>
      <c r="E234" s="101"/>
      <c r="F234" s="106">
        <f>F235+F259</f>
        <v>144149155.20000002</v>
      </c>
      <c r="G234" s="106">
        <f>G235+G259</f>
        <v>140336400</v>
      </c>
      <c r="H234" s="106">
        <f>H235+H259</f>
        <v>140336400</v>
      </c>
    </row>
    <row r="235" spans="1:8" s="152" customFormat="1" ht="16.5">
      <c r="A235" s="66" t="s">
        <v>370</v>
      </c>
      <c r="B235" s="105" t="s">
        <v>369</v>
      </c>
      <c r="C235" s="105" t="s">
        <v>308</v>
      </c>
      <c r="D235" s="101"/>
      <c r="E235" s="101"/>
      <c r="F235" s="106">
        <f>F236+F253+F256</f>
        <v>104350487.67000002</v>
      </c>
      <c r="G235" s="106">
        <f>G236+G253+G256</f>
        <v>110420700</v>
      </c>
      <c r="H235" s="106">
        <f>H236+H253+H256</f>
        <v>110420700</v>
      </c>
    </row>
    <row r="236" spans="1:8" s="153" customFormat="1" ht="16.5">
      <c r="A236" s="66" t="s">
        <v>209</v>
      </c>
      <c r="B236" s="105" t="s">
        <v>369</v>
      </c>
      <c r="C236" s="105" t="s">
        <v>308</v>
      </c>
      <c r="D236" s="141" t="s">
        <v>210</v>
      </c>
      <c r="E236" s="101"/>
      <c r="F236" s="106">
        <f>F237+F240+F251</f>
        <v>103161476.55000001</v>
      </c>
      <c r="G236" s="106">
        <f>G237+G240+G251</f>
        <v>109520700</v>
      </c>
      <c r="H236" s="106">
        <f>H237+H240+H251</f>
        <v>109520700</v>
      </c>
    </row>
    <row r="237" spans="1:8" s="153" customFormat="1" ht="16.5">
      <c r="A237" s="46" t="s">
        <v>212</v>
      </c>
      <c r="B237" s="107" t="s">
        <v>369</v>
      </c>
      <c r="C237" s="107" t="s">
        <v>308</v>
      </c>
      <c r="D237" s="142" t="s">
        <v>213</v>
      </c>
      <c r="E237" s="98"/>
      <c r="F237" s="108">
        <f>SUM(F238:F239)</f>
        <v>2248800</v>
      </c>
      <c r="G237" s="108">
        <f>SUM(G238:G239)</f>
        <v>2480300</v>
      </c>
      <c r="H237" s="108">
        <f>SUM(H238:H239)</f>
        <v>2480300</v>
      </c>
    </row>
    <row r="238" spans="1:8" s="152" customFormat="1" ht="33.75">
      <c r="A238" s="48" t="s">
        <v>195</v>
      </c>
      <c r="B238" s="107" t="s">
        <v>369</v>
      </c>
      <c r="C238" s="107" t="s">
        <v>308</v>
      </c>
      <c r="D238" s="142" t="s">
        <v>213</v>
      </c>
      <c r="E238" s="98">
        <v>200</v>
      </c>
      <c r="F238" s="108">
        <f>'Приложение 2'!D51</f>
        <v>2238800</v>
      </c>
      <c r="G238" s="108">
        <f>'Приложение 2'!E51</f>
        <v>2470300</v>
      </c>
      <c r="H238" s="108">
        <f>'Приложение 2'!F51</f>
        <v>2470300</v>
      </c>
    </row>
    <row r="239" spans="1:8" s="153" customFormat="1" ht="16.5">
      <c r="A239" s="46" t="s">
        <v>197</v>
      </c>
      <c r="B239" s="107" t="s">
        <v>369</v>
      </c>
      <c r="C239" s="107" t="s">
        <v>308</v>
      </c>
      <c r="D239" s="142" t="s">
        <v>213</v>
      </c>
      <c r="E239" s="98">
        <v>800</v>
      </c>
      <c r="F239" s="108">
        <f>'Приложение 2'!D52</f>
        <v>10000</v>
      </c>
      <c r="G239" s="108">
        <f>'Приложение 2'!E52</f>
        <v>10000</v>
      </c>
      <c r="H239" s="108">
        <f>'Приложение 2'!F52</f>
        <v>10000</v>
      </c>
    </row>
    <row r="240" spans="1:8" s="153" customFormat="1" ht="51">
      <c r="A240" s="154" t="s">
        <v>416</v>
      </c>
      <c r="B240" s="107" t="s">
        <v>369</v>
      </c>
      <c r="C240" s="107" t="s">
        <v>308</v>
      </c>
      <c r="D240" s="142" t="s">
        <v>215</v>
      </c>
      <c r="E240" s="98"/>
      <c r="F240" s="108">
        <f>F241+F246</f>
        <v>100912676.55000001</v>
      </c>
      <c r="G240" s="108">
        <f>G241+G246</f>
        <v>107040400</v>
      </c>
      <c r="H240" s="108">
        <f>H241+H246</f>
        <v>107040400</v>
      </c>
    </row>
    <row r="241" spans="1:8" s="153" customFormat="1" ht="16.5">
      <c r="A241" s="155" t="s">
        <v>640</v>
      </c>
      <c r="B241" s="107" t="s">
        <v>369</v>
      </c>
      <c r="C241" s="107" t="s">
        <v>308</v>
      </c>
      <c r="D241" s="142" t="s">
        <v>297</v>
      </c>
      <c r="E241" s="98"/>
      <c r="F241" s="108">
        <f>SUM(F242:F245)</f>
        <v>79917494.15</v>
      </c>
      <c r="G241" s="108">
        <f>SUM(G242:G245)</f>
        <v>83746900</v>
      </c>
      <c r="H241" s="108">
        <f>SUM(H242:H245)</f>
        <v>83746900</v>
      </c>
    </row>
    <row r="242" spans="1:8" s="153" customFormat="1" ht="67.5">
      <c r="A242" s="46" t="s">
        <v>194</v>
      </c>
      <c r="B242" s="107" t="s">
        <v>369</v>
      </c>
      <c r="C242" s="107" t="s">
        <v>308</v>
      </c>
      <c r="D242" s="142" t="s">
        <v>297</v>
      </c>
      <c r="E242" s="98">
        <v>100</v>
      </c>
      <c r="F242" s="137">
        <f>'Приложение 2'!D55</f>
        <v>62335468.550000004</v>
      </c>
      <c r="G242" s="137">
        <f>'Приложение 2'!E55</f>
        <v>63476900</v>
      </c>
      <c r="H242" s="137">
        <f>'Приложение 2'!F55</f>
        <v>63476900</v>
      </c>
    </row>
    <row r="243" spans="1:8" s="153" customFormat="1" ht="33.75">
      <c r="A243" s="48" t="s">
        <v>195</v>
      </c>
      <c r="B243" s="107" t="s">
        <v>369</v>
      </c>
      <c r="C243" s="107" t="s">
        <v>308</v>
      </c>
      <c r="D243" s="142" t="s">
        <v>297</v>
      </c>
      <c r="E243" s="98">
        <v>200</v>
      </c>
      <c r="F243" s="137">
        <f>'Приложение 2'!D56</f>
        <v>16674742</v>
      </c>
      <c r="G243" s="137">
        <f>'Приложение 2'!E56</f>
        <v>19748900</v>
      </c>
      <c r="H243" s="137">
        <f>'Приложение 2'!F56</f>
        <v>19748900</v>
      </c>
    </row>
    <row r="244" spans="1:8" s="153" customFormat="1" ht="16.5">
      <c r="A244" s="46" t="s">
        <v>196</v>
      </c>
      <c r="B244" s="107" t="s">
        <v>369</v>
      </c>
      <c r="C244" s="107" t="s">
        <v>308</v>
      </c>
      <c r="D244" s="142" t="s">
        <v>297</v>
      </c>
      <c r="E244" s="98">
        <v>300</v>
      </c>
      <c r="F244" s="137">
        <f>'Приложение 2'!D57</f>
        <v>143183.6</v>
      </c>
      <c r="G244" s="137">
        <f>'Приложение 2'!E57</f>
        <v>0</v>
      </c>
      <c r="H244" s="137">
        <f>'Приложение 2'!F57</f>
        <v>0</v>
      </c>
    </row>
    <row r="245" spans="1:8" s="153" customFormat="1" ht="16.5">
      <c r="A245" s="46" t="s">
        <v>197</v>
      </c>
      <c r="B245" s="107" t="s">
        <v>369</v>
      </c>
      <c r="C245" s="107" t="s">
        <v>308</v>
      </c>
      <c r="D245" s="142" t="s">
        <v>297</v>
      </c>
      <c r="E245" s="98">
        <v>800</v>
      </c>
      <c r="F245" s="137">
        <f>'Приложение 2'!D58</f>
        <v>764100</v>
      </c>
      <c r="G245" s="137">
        <f>'Приложение 2'!E58</f>
        <v>521100</v>
      </c>
      <c r="H245" s="137">
        <f>'Приложение 2'!F58</f>
        <v>521100</v>
      </c>
    </row>
    <row r="246" spans="1:8" s="153" customFormat="1" ht="16.5">
      <c r="A246" s="46" t="s">
        <v>641</v>
      </c>
      <c r="B246" s="107" t="s">
        <v>369</v>
      </c>
      <c r="C246" s="107" t="s">
        <v>308</v>
      </c>
      <c r="D246" s="142" t="s">
        <v>298</v>
      </c>
      <c r="E246" s="98"/>
      <c r="F246" s="137">
        <f>SUM(F247:F250)</f>
        <v>20995182.4</v>
      </c>
      <c r="G246" s="137">
        <f>SUM(G247:G250)</f>
        <v>23293500</v>
      </c>
      <c r="H246" s="137">
        <f>SUM(H247:H250)</f>
        <v>23293500</v>
      </c>
    </row>
    <row r="247" spans="1:8" s="153" customFormat="1" ht="67.5">
      <c r="A247" s="46" t="s">
        <v>194</v>
      </c>
      <c r="B247" s="107" t="s">
        <v>369</v>
      </c>
      <c r="C247" s="107" t="s">
        <v>308</v>
      </c>
      <c r="D247" s="142" t="s">
        <v>298</v>
      </c>
      <c r="E247" s="98">
        <v>100</v>
      </c>
      <c r="F247" s="137">
        <f>'Приложение 2'!D60</f>
        <v>19546965.4</v>
      </c>
      <c r="G247" s="137">
        <f>'Приложение 2'!E60</f>
        <v>20169700</v>
      </c>
      <c r="H247" s="137">
        <f>'Приложение 2'!F60</f>
        <v>20169700</v>
      </c>
    </row>
    <row r="248" spans="1:8" s="153" customFormat="1" ht="33.75">
      <c r="A248" s="48" t="s">
        <v>195</v>
      </c>
      <c r="B248" s="107" t="s">
        <v>369</v>
      </c>
      <c r="C248" s="107" t="s">
        <v>308</v>
      </c>
      <c r="D248" s="142" t="s">
        <v>298</v>
      </c>
      <c r="E248" s="98">
        <v>200</v>
      </c>
      <c r="F248" s="137">
        <f>'Приложение 2'!D61</f>
        <v>1354000</v>
      </c>
      <c r="G248" s="137">
        <f>'Приложение 2'!E61</f>
        <v>3036200</v>
      </c>
      <c r="H248" s="137">
        <f>'Приложение 2'!F61</f>
        <v>3036200</v>
      </c>
    </row>
    <row r="249" spans="1:8" s="153" customFormat="1" ht="16.5">
      <c r="A249" s="48" t="s">
        <v>196</v>
      </c>
      <c r="B249" s="107" t="s">
        <v>369</v>
      </c>
      <c r="C249" s="107" t="s">
        <v>308</v>
      </c>
      <c r="D249" s="142" t="s">
        <v>298</v>
      </c>
      <c r="E249" s="98">
        <v>300</v>
      </c>
      <c r="F249" s="137">
        <f>'Приложение 2'!D62</f>
        <v>86482</v>
      </c>
      <c r="G249" s="137">
        <f>'Приложение 2'!E62</f>
        <v>0</v>
      </c>
      <c r="H249" s="137">
        <f>'Приложение 2'!F62</f>
        <v>0</v>
      </c>
    </row>
    <row r="250" spans="1:8" s="153" customFormat="1" ht="16.5">
      <c r="A250" s="46" t="s">
        <v>197</v>
      </c>
      <c r="B250" s="107" t="s">
        <v>369</v>
      </c>
      <c r="C250" s="107" t="s">
        <v>308</v>
      </c>
      <c r="D250" s="142" t="s">
        <v>298</v>
      </c>
      <c r="E250" s="98">
        <v>800</v>
      </c>
      <c r="F250" s="137">
        <f>'Приложение 2'!D63</f>
        <v>7735</v>
      </c>
      <c r="G250" s="137">
        <f>'Приложение 2'!E63</f>
        <v>87600</v>
      </c>
      <c r="H250" s="137">
        <f>'Приложение 2'!F63</f>
        <v>87600</v>
      </c>
    </row>
    <row r="251" spans="1:8" s="152" customFormat="1" ht="33.75" hidden="1">
      <c r="A251" s="67" t="s">
        <v>218</v>
      </c>
      <c r="B251" s="105" t="s">
        <v>369</v>
      </c>
      <c r="C251" s="105" t="s">
        <v>308</v>
      </c>
      <c r="D251" s="141" t="s">
        <v>219</v>
      </c>
      <c r="E251" s="101"/>
      <c r="F251" s="156">
        <f>F252</f>
        <v>0</v>
      </c>
      <c r="G251" s="156">
        <f>G252</f>
        <v>0</v>
      </c>
      <c r="H251" s="156">
        <f>H252</f>
        <v>0</v>
      </c>
    </row>
    <row r="252" spans="1:8" s="153" customFormat="1" ht="33.75" hidden="1">
      <c r="A252" s="46" t="s">
        <v>220</v>
      </c>
      <c r="B252" s="107" t="s">
        <v>369</v>
      </c>
      <c r="C252" s="107" t="s">
        <v>308</v>
      </c>
      <c r="D252" s="142" t="s">
        <v>219</v>
      </c>
      <c r="E252" s="98">
        <v>400</v>
      </c>
      <c r="F252" s="137">
        <v>0</v>
      </c>
      <c r="G252" s="137">
        <v>0</v>
      </c>
      <c r="H252" s="137">
        <v>0</v>
      </c>
    </row>
    <row r="253" spans="1:8" s="153" customFormat="1" ht="33.75">
      <c r="A253" s="66" t="s">
        <v>293</v>
      </c>
      <c r="B253" s="107" t="s">
        <v>369</v>
      </c>
      <c r="C253" s="107" t="s">
        <v>308</v>
      </c>
      <c r="D253" s="141" t="s">
        <v>417</v>
      </c>
      <c r="E253" s="101"/>
      <c r="F253" s="156">
        <f aca="true" t="shared" si="18" ref="F253:H254">F254</f>
        <v>1189011.12</v>
      </c>
      <c r="G253" s="156">
        <f t="shared" si="18"/>
        <v>0</v>
      </c>
      <c r="H253" s="156">
        <f t="shared" si="18"/>
        <v>0</v>
      </c>
    </row>
    <row r="254" spans="1:8" s="153" customFormat="1" ht="33.75">
      <c r="A254" s="66" t="s">
        <v>294</v>
      </c>
      <c r="B254" s="107" t="s">
        <v>369</v>
      </c>
      <c r="C254" s="107" t="s">
        <v>308</v>
      </c>
      <c r="D254" s="141" t="s">
        <v>418</v>
      </c>
      <c r="E254" s="101"/>
      <c r="F254" s="156">
        <f t="shared" si="18"/>
        <v>1189011.12</v>
      </c>
      <c r="G254" s="156">
        <f t="shared" si="18"/>
        <v>0</v>
      </c>
      <c r="H254" s="156">
        <f t="shared" si="18"/>
        <v>0</v>
      </c>
    </row>
    <row r="255" spans="1:8" s="153" customFormat="1" ht="33.75">
      <c r="A255" s="46" t="s">
        <v>220</v>
      </c>
      <c r="B255" s="107" t="s">
        <v>369</v>
      </c>
      <c r="C255" s="107" t="s">
        <v>308</v>
      </c>
      <c r="D255" s="142" t="s">
        <v>418</v>
      </c>
      <c r="E255" s="98">
        <v>400</v>
      </c>
      <c r="F255" s="137">
        <f>'Приложение 2'!D178</f>
        <v>1189011.12</v>
      </c>
      <c r="G255" s="137">
        <f>'Приложение 2'!E178</f>
        <v>0</v>
      </c>
      <c r="H255" s="137">
        <f>'Приложение 2'!F178</f>
        <v>0</v>
      </c>
    </row>
    <row r="256" spans="1:8" s="152" customFormat="1" ht="16.5">
      <c r="A256" s="70" t="s">
        <v>311</v>
      </c>
      <c r="B256" s="105" t="s">
        <v>369</v>
      </c>
      <c r="C256" s="105" t="s">
        <v>308</v>
      </c>
      <c r="D256" s="105" t="s">
        <v>312</v>
      </c>
      <c r="E256" s="101"/>
      <c r="F256" s="156">
        <f aca="true" t="shared" si="19" ref="F256:H257">F257</f>
        <v>0</v>
      </c>
      <c r="G256" s="156">
        <f t="shared" si="19"/>
        <v>900000</v>
      </c>
      <c r="H256" s="156">
        <f t="shared" si="19"/>
        <v>900000</v>
      </c>
    </row>
    <row r="257" spans="1:8" s="153" customFormat="1" ht="16.5">
      <c r="A257" s="48" t="s">
        <v>331</v>
      </c>
      <c r="B257" s="107" t="s">
        <v>369</v>
      </c>
      <c r="C257" s="107" t="s">
        <v>308</v>
      </c>
      <c r="D257" s="107" t="s">
        <v>332</v>
      </c>
      <c r="E257" s="98"/>
      <c r="F257" s="137">
        <f t="shared" si="19"/>
        <v>0</v>
      </c>
      <c r="G257" s="137">
        <f t="shared" si="19"/>
        <v>900000</v>
      </c>
      <c r="H257" s="137">
        <f t="shared" si="19"/>
        <v>900000</v>
      </c>
    </row>
    <row r="258" spans="1:8" s="153" customFormat="1" ht="33.75">
      <c r="A258" s="48" t="s">
        <v>195</v>
      </c>
      <c r="B258" s="107" t="s">
        <v>369</v>
      </c>
      <c r="C258" s="107" t="s">
        <v>308</v>
      </c>
      <c r="D258" s="107" t="s">
        <v>332</v>
      </c>
      <c r="E258" s="98">
        <v>200</v>
      </c>
      <c r="F258" s="137">
        <f>'Приложение 3'!F182</f>
        <v>0</v>
      </c>
      <c r="G258" s="137">
        <f>'Приложение 3'!G182</f>
        <v>900000</v>
      </c>
      <c r="H258" s="137">
        <f>'Приложение 3'!H182</f>
        <v>900000</v>
      </c>
    </row>
    <row r="259" spans="1:8" s="152" customFormat="1" ht="16.5">
      <c r="A259" s="66" t="s">
        <v>419</v>
      </c>
      <c r="B259" s="105" t="s">
        <v>369</v>
      </c>
      <c r="C259" s="105" t="s">
        <v>322</v>
      </c>
      <c r="D259" s="101"/>
      <c r="E259" s="101"/>
      <c r="F259" s="106">
        <f aca="true" t="shared" si="20" ref="F259:H260">F260</f>
        <v>39798667.529999994</v>
      </c>
      <c r="G259" s="106">
        <f t="shared" si="20"/>
        <v>29915700</v>
      </c>
      <c r="H259" s="106">
        <f t="shared" si="20"/>
        <v>29915700</v>
      </c>
    </row>
    <row r="260" spans="1:8" s="153" customFormat="1" ht="16.5">
      <c r="A260" s="66" t="s">
        <v>209</v>
      </c>
      <c r="B260" s="105" t="s">
        <v>369</v>
      </c>
      <c r="C260" s="105" t="s">
        <v>322</v>
      </c>
      <c r="D260" s="141" t="s">
        <v>210</v>
      </c>
      <c r="E260" s="101"/>
      <c r="F260" s="108">
        <f t="shared" si="20"/>
        <v>39798667.529999994</v>
      </c>
      <c r="G260" s="108">
        <f t="shared" si="20"/>
        <v>29915700</v>
      </c>
      <c r="H260" s="108">
        <f t="shared" si="20"/>
        <v>29915700</v>
      </c>
    </row>
    <row r="261" spans="1:8" s="153" customFormat="1" ht="16.5">
      <c r="A261" s="46" t="s">
        <v>192</v>
      </c>
      <c r="B261" s="107" t="s">
        <v>369</v>
      </c>
      <c r="C261" s="107" t="s">
        <v>322</v>
      </c>
      <c r="D261" s="142" t="s">
        <v>211</v>
      </c>
      <c r="E261" s="98"/>
      <c r="F261" s="108">
        <f>F262+F263+F265+F264</f>
        <v>39798667.529999994</v>
      </c>
      <c r="G261" s="108">
        <f>G262+G263+G265+G264</f>
        <v>29915700</v>
      </c>
      <c r="H261" s="108">
        <f>H262+H263+H265+H264</f>
        <v>29915700</v>
      </c>
    </row>
    <row r="262" spans="1:8" s="152" customFormat="1" ht="67.5">
      <c r="A262" s="46" t="s">
        <v>194</v>
      </c>
      <c r="B262" s="107" t="s">
        <v>369</v>
      </c>
      <c r="C262" s="107" t="s">
        <v>322</v>
      </c>
      <c r="D262" s="142" t="s">
        <v>211</v>
      </c>
      <c r="E262" s="98">
        <v>100</v>
      </c>
      <c r="F262" s="109">
        <f>'Приложение 2'!D46</f>
        <v>22174453.819999997</v>
      </c>
      <c r="G262" s="109">
        <f>'Приложение 2'!E46</f>
        <v>22773700</v>
      </c>
      <c r="H262" s="109">
        <f>'Приложение 2'!F46</f>
        <v>22773700</v>
      </c>
    </row>
    <row r="263" spans="1:8" s="157" customFormat="1" ht="33.75">
      <c r="A263" s="48" t="s">
        <v>195</v>
      </c>
      <c r="B263" s="107" t="s">
        <v>369</v>
      </c>
      <c r="C263" s="107" t="s">
        <v>322</v>
      </c>
      <c r="D263" s="142" t="s">
        <v>211</v>
      </c>
      <c r="E263" s="98">
        <v>200</v>
      </c>
      <c r="F263" s="109">
        <f>'Приложение 2'!D47</f>
        <v>6190480</v>
      </c>
      <c r="G263" s="109">
        <f>'Приложение 2'!E47</f>
        <v>7131700</v>
      </c>
      <c r="H263" s="109">
        <f>'Приложение 2'!F47</f>
        <v>7131700</v>
      </c>
    </row>
    <row r="264" spans="1:8" s="157" customFormat="1" ht="16.5">
      <c r="A264" s="48" t="s">
        <v>196</v>
      </c>
      <c r="B264" s="107" t="s">
        <v>369</v>
      </c>
      <c r="C264" s="107" t="s">
        <v>322</v>
      </c>
      <c r="D264" s="142" t="s">
        <v>211</v>
      </c>
      <c r="E264" s="98">
        <v>300</v>
      </c>
      <c r="F264" s="109">
        <f>'Приложение 2'!D48</f>
        <v>399266.70999999996</v>
      </c>
      <c r="G264" s="109">
        <f>'Приложение 2'!E48</f>
        <v>0</v>
      </c>
      <c r="H264" s="109">
        <f>'Приложение 2'!F48</f>
        <v>0</v>
      </c>
    </row>
    <row r="265" spans="1:8" s="152" customFormat="1" ht="16.5">
      <c r="A265" s="46" t="s">
        <v>197</v>
      </c>
      <c r="B265" s="107" t="s">
        <v>369</v>
      </c>
      <c r="C265" s="107" t="s">
        <v>322</v>
      </c>
      <c r="D265" s="142" t="s">
        <v>211</v>
      </c>
      <c r="E265" s="98">
        <v>800</v>
      </c>
      <c r="F265" s="109">
        <f>'Приложение 2'!D49</f>
        <v>11034467</v>
      </c>
      <c r="G265" s="109">
        <f>'Приложение 2'!E49</f>
        <v>10300</v>
      </c>
      <c r="H265" s="109">
        <f>'Приложение 2'!F49</f>
        <v>10300</v>
      </c>
    </row>
    <row r="266" spans="1:8" s="152" customFormat="1" ht="16.5">
      <c r="A266" s="66" t="s">
        <v>371</v>
      </c>
      <c r="B266" s="105" t="s">
        <v>367</v>
      </c>
      <c r="C266" s="105"/>
      <c r="D266" s="141"/>
      <c r="E266" s="101"/>
      <c r="F266" s="111">
        <f>F267</f>
        <v>35987448.38</v>
      </c>
      <c r="G266" s="111">
        <f>G267</f>
        <v>0</v>
      </c>
      <c r="H266" s="111">
        <f>H267</f>
        <v>0</v>
      </c>
    </row>
    <row r="267" spans="1:8" s="152" customFormat="1" ht="16.5">
      <c r="A267" s="66" t="s">
        <v>372</v>
      </c>
      <c r="B267" s="105" t="s">
        <v>367</v>
      </c>
      <c r="C267" s="105" t="s">
        <v>367</v>
      </c>
      <c r="D267" s="141"/>
      <c r="E267" s="101"/>
      <c r="F267" s="111">
        <f>F268+F271</f>
        <v>35987448.38</v>
      </c>
      <c r="G267" s="111">
        <f>G268+G271</f>
        <v>0</v>
      </c>
      <c r="H267" s="111">
        <f>H268+H271</f>
        <v>0</v>
      </c>
    </row>
    <row r="268" spans="1:8" s="152" customFormat="1" ht="16.5">
      <c r="A268" s="70" t="s">
        <v>291</v>
      </c>
      <c r="B268" s="105" t="s">
        <v>367</v>
      </c>
      <c r="C268" s="105" t="s">
        <v>367</v>
      </c>
      <c r="D268" s="143">
        <v>1300000000</v>
      </c>
      <c r="E268" s="143"/>
      <c r="F268" s="109">
        <f aca="true" t="shared" si="21" ref="F268:H269">F269</f>
        <v>35987448.38</v>
      </c>
      <c r="G268" s="109">
        <f t="shared" si="21"/>
        <v>0</v>
      </c>
      <c r="H268" s="109">
        <f t="shared" si="21"/>
        <v>0</v>
      </c>
    </row>
    <row r="269" spans="1:8" s="153" customFormat="1" ht="51">
      <c r="A269" s="158" t="s">
        <v>292</v>
      </c>
      <c r="B269" s="107" t="s">
        <v>367</v>
      </c>
      <c r="C269" s="107" t="s">
        <v>367</v>
      </c>
      <c r="D269" s="125">
        <v>1320000000</v>
      </c>
      <c r="E269" s="125"/>
      <c r="F269" s="109">
        <f t="shared" si="21"/>
        <v>35987448.38</v>
      </c>
      <c r="G269" s="109">
        <f t="shared" si="21"/>
        <v>0</v>
      </c>
      <c r="H269" s="109">
        <f t="shared" si="21"/>
        <v>0</v>
      </c>
    </row>
    <row r="270" spans="1:8" s="153" customFormat="1" ht="33.75">
      <c r="A270" s="48" t="s">
        <v>195</v>
      </c>
      <c r="B270" s="107" t="s">
        <v>367</v>
      </c>
      <c r="C270" s="107" t="s">
        <v>367</v>
      </c>
      <c r="D270" s="125">
        <v>1320000000</v>
      </c>
      <c r="E270" s="125">
        <v>200</v>
      </c>
      <c r="F270" s="109">
        <f>'Приложение 2'!D175</f>
        <v>35987448.38</v>
      </c>
      <c r="G270" s="109">
        <f>'Приложение 2'!E175</f>
        <v>0</v>
      </c>
      <c r="H270" s="109">
        <f>'Приложение 2'!F175</f>
        <v>0</v>
      </c>
    </row>
    <row r="271" spans="1:8" s="153" customFormat="1" ht="16.5" hidden="1">
      <c r="A271" s="70" t="s">
        <v>311</v>
      </c>
      <c r="B271" s="105" t="s">
        <v>367</v>
      </c>
      <c r="C271" s="105" t="s">
        <v>367</v>
      </c>
      <c r="D271" s="105" t="s">
        <v>312</v>
      </c>
      <c r="E271" s="125"/>
      <c r="F271" s="111">
        <f aca="true" t="shared" si="22" ref="F271:H272">F272</f>
        <v>0</v>
      </c>
      <c r="G271" s="111">
        <f t="shared" si="22"/>
        <v>0</v>
      </c>
      <c r="H271" s="111">
        <f t="shared" si="22"/>
        <v>0</v>
      </c>
    </row>
    <row r="272" spans="1:8" s="153" customFormat="1" ht="16.5" hidden="1">
      <c r="A272" s="48" t="s">
        <v>331</v>
      </c>
      <c r="B272" s="107" t="s">
        <v>367</v>
      </c>
      <c r="C272" s="107" t="s">
        <v>367</v>
      </c>
      <c r="D272" s="107" t="s">
        <v>332</v>
      </c>
      <c r="E272" s="125"/>
      <c r="F272" s="109">
        <f t="shared" si="22"/>
        <v>0</v>
      </c>
      <c r="G272" s="109">
        <f t="shared" si="22"/>
        <v>0</v>
      </c>
      <c r="H272" s="109">
        <f t="shared" si="22"/>
        <v>0</v>
      </c>
    </row>
    <row r="273" spans="1:8" s="153" customFormat="1" ht="33.75" hidden="1">
      <c r="A273" s="48" t="s">
        <v>195</v>
      </c>
      <c r="B273" s="107" t="s">
        <v>367</v>
      </c>
      <c r="C273" s="107" t="s">
        <v>367</v>
      </c>
      <c r="D273" s="107" t="s">
        <v>332</v>
      </c>
      <c r="E273" s="125">
        <v>200</v>
      </c>
      <c r="F273" s="109">
        <v>0</v>
      </c>
      <c r="G273" s="109">
        <v>0</v>
      </c>
      <c r="H273" s="109">
        <v>0</v>
      </c>
    </row>
    <row r="274" spans="1:8" s="152" customFormat="1" ht="16.5">
      <c r="A274" s="70" t="s">
        <v>373</v>
      </c>
      <c r="B274" s="105" t="s">
        <v>345</v>
      </c>
      <c r="C274" s="105"/>
      <c r="D274" s="105"/>
      <c r="E274" s="105"/>
      <c r="F274" s="106">
        <f>F275+F282+F296+F313</f>
        <v>138940257.1</v>
      </c>
      <c r="G274" s="106">
        <f>G275+G282+G296+G313</f>
        <v>100837436.25999999</v>
      </c>
      <c r="H274" s="106">
        <f>H275+H282+H296+H313</f>
        <v>100645905.00999999</v>
      </c>
    </row>
    <row r="275" spans="1:8" s="152" customFormat="1" ht="16.5">
      <c r="A275" s="70" t="s">
        <v>374</v>
      </c>
      <c r="B275" s="105" t="s">
        <v>345</v>
      </c>
      <c r="C275" s="105" t="s">
        <v>308</v>
      </c>
      <c r="D275" s="105"/>
      <c r="E275" s="105"/>
      <c r="F275" s="106">
        <f>F276+F279</f>
        <v>9685452.68</v>
      </c>
      <c r="G275" s="106">
        <f>G276+G279</f>
        <v>8199922</v>
      </c>
      <c r="H275" s="106">
        <f>H276+H279</f>
        <v>8095922</v>
      </c>
    </row>
    <row r="276" spans="1:8" s="153" customFormat="1" ht="16.5">
      <c r="A276" s="70" t="s">
        <v>253</v>
      </c>
      <c r="B276" s="105" t="s">
        <v>345</v>
      </c>
      <c r="C276" s="105" t="s">
        <v>308</v>
      </c>
      <c r="D276" s="105" t="s">
        <v>254</v>
      </c>
      <c r="E276" s="105"/>
      <c r="F276" s="106">
        <f aca="true" t="shared" si="23" ref="F276:H277">F277</f>
        <v>5293056</v>
      </c>
      <c r="G276" s="106">
        <f t="shared" si="23"/>
        <v>4327000</v>
      </c>
      <c r="H276" s="106">
        <f t="shared" si="23"/>
        <v>4223000</v>
      </c>
    </row>
    <row r="277" spans="1:8" s="153" customFormat="1" ht="16.5">
      <c r="A277" s="48" t="s">
        <v>255</v>
      </c>
      <c r="B277" s="107" t="s">
        <v>345</v>
      </c>
      <c r="C277" s="107" t="s">
        <v>308</v>
      </c>
      <c r="D277" s="107" t="s">
        <v>256</v>
      </c>
      <c r="E277" s="107"/>
      <c r="F277" s="108">
        <f t="shared" si="23"/>
        <v>5293056</v>
      </c>
      <c r="G277" s="108">
        <f t="shared" si="23"/>
        <v>4327000</v>
      </c>
      <c r="H277" s="108">
        <f t="shared" si="23"/>
        <v>4223000</v>
      </c>
    </row>
    <row r="278" spans="1:8" s="153" customFormat="1" ht="16.5">
      <c r="A278" s="48" t="s">
        <v>196</v>
      </c>
      <c r="B278" s="107" t="s">
        <v>345</v>
      </c>
      <c r="C278" s="107" t="s">
        <v>308</v>
      </c>
      <c r="D278" s="107" t="s">
        <v>256</v>
      </c>
      <c r="E278" s="107" t="s">
        <v>257</v>
      </c>
      <c r="F278" s="108">
        <f>4223000+781552+288504</f>
        <v>5293056</v>
      </c>
      <c r="G278" s="108">
        <f>4327000</f>
        <v>4327000</v>
      </c>
      <c r="H278" s="108">
        <v>4223000</v>
      </c>
    </row>
    <row r="279" spans="1:8" s="152" customFormat="1" ht="16.5">
      <c r="A279" s="70" t="s">
        <v>311</v>
      </c>
      <c r="B279" s="105" t="s">
        <v>345</v>
      </c>
      <c r="C279" s="105" t="s">
        <v>308</v>
      </c>
      <c r="D279" s="105" t="s">
        <v>312</v>
      </c>
      <c r="E279" s="105"/>
      <c r="F279" s="106">
        <f aca="true" t="shared" si="24" ref="F279:H280">F280</f>
        <v>4392396.68</v>
      </c>
      <c r="G279" s="106">
        <f t="shared" si="24"/>
        <v>3872922</v>
      </c>
      <c r="H279" s="106">
        <f t="shared" si="24"/>
        <v>3872922</v>
      </c>
    </row>
    <row r="280" spans="1:8" s="153" customFormat="1" ht="16.5">
      <c r="A280" s="48" t="s">
        <v>331</v>
      </c>
      <c r="B280" s="107" t="s">
        <v>345</v>
      </c>
      <c r="C280" s="107" t="s">
        <v>308</v>
      </c>
      <c r="D280" s="107" t="s">
        <v>332</v>
      </c>
      <c r="E280" s="107"/>
      <c r="F280" s="108">
        <f t="shared" si="24"/>
        <v>4392396.68</v>
      </c>
      <c r="G280" s="108">
        <f t="shared" si="24"/>
        <v>3872922</v>
      </c>
      <c r="H280" s="108">
        <f t="shared" si="24"/>
        <v>3872922</v>
      </c>
    </row>
    <row r="281" spans="1:8" s="152" customFormat="1" ht="16.5">
      <c r="A281" s="48" t="s">
        <v>196</v>
      </c>
      <c r="B281" s="107" t="s">
        <v>345</v>
      </c>
      <c r="C281" s="107" t="s">
        <v>308</v>
      </c>
      <c r="D281" s="107" t="s">
        <v>332</v>
      </c>
      <c r="E281" s="107" t="s">
        <v>257</v>
      </c>
      <c r="F281" s="108">
        <f>'Приложение 3'!F194</f>
        <v>4392396.68</v>
      </c>
      <c r="G281" s="108">
        <f>'Приложение 3'!G194</f>
        <v>3872922</v>
      </c>
      <c r="H281" s="108">
        <f>'Приложение 3'!H194</f>
        <v>3872922</v>
      </c>
    </row>
    <row r="282" spans="1:8" s="152" customFormat="1" ht="16.5">
      <c r="A282" s="70" t="s">
        <v>375</v>
      </c>
      <c r="B282" s="105" t="s">
        <v>345</v>
      </c>
      <c r="C282" s="105" t="s">
        <v>318</v>
      </c>
      <c r="D282" s="105"/>
      <c r="E282" s="105"/>
      <c r="F282" s="106">
        <f>F283+F287+F292</f>
        <v>61936935.92</v>
      </c>
      <c r="G282" s="106">
        <f>G283+G287+G292</f>
        <v>36900000</v>
      </c>
      <c r="H282" s="106">
        <f>H283+H287+H292</f>
        <v>36900000</v>
      </c>
    </row>
    <row r="283" spans="1:8" s="152" customFormat="1" ht="51">
      <c r="A283" s="70" t="s">
        <v>260</v>
      </c>
      <c r="B283" s="105" t="s">
        <v>345</v>
      </c>
      <c r="C283" s="105" t="s">
        <v>318</v>
      </c>
      <c r="D283" s="105" t="s">
        <v>261</v>
      </c>
      <c r="E283" s="105"/>
      <c r="F283" s="106">
        <f>F284</f>
        <v>26099994.999999996</v>
      </c>
      <c r="G283" s="106">
        <f>G284</f>
        <v>30900000</v>
      </c>
      <c r="H283" s="106">
        <f>H284</f>
        <v>30900000</v>
      </c>
    </row>
    <row r="284" spans="1:8" s="138" customFormat="1" ht="16.5">
      <c r="A284" s="48" t="s">
        <v>264</v>
      </c>
      <c r="B284" s="107" t="s">
        <v>345</v>
      </c>
      <c r="C284" s="107" t="s">
        <v>318</v>
      </c>
      <c r="D284" s="107" t="s">
        <v>265</v>
      </c>
      <c r="E284" s="107"/>
      <c r="F284" s="108">
        <f>F285+F286</f>
        <v>26099994.999999996</v>
      </c>
      <c r="G284" s="108">
        <f>G285+G286</f>
        <v>30900000</v>
      </c>
      <c r="H284" s="108">
        <f>H285+H286</f>
        <v>30900000</v>
      </c>
    </row>
    <row r="285" spans="1:8" s="138" customFormat="1" ht="16.5">
      <c r="A285" s="48" t="s">
        <v>196</v>
      </c>
      <c r="B285" s="107" t="s">
        <v>345</v>
      </c>
      <c r="C285" s="107" t="s">
        <v>318</v>
      </c>
      <c r="D285" s="107" t="s">
        <v>265</v>
      </c>
      <c r="E285" s="107" t="s">
        <v>257</v>
      </c>
      <c r="F285" s="108">
        <f>'Приложение 2'!D130-'Приложение 4'!F307</f>
        <v>10699994.999999996</v>
      </c>
      <c r="G285" s="108">
        <f>'Приложение 2'!E130-'Приложение 4'!G307</f>
        <v>15300000</v>
      </c>
      <c r="H285" s="108">
        <f>'Приложение 2'!F130-'Приложение 4'!H307</f>
        <v>15300000</v>
      </c>
    </row>
    <row r="286" spans="1:8" s="138" customFormat="1" ht="33.75">
      <c r="A286" s="48" t="s">
        <v>220</v>
      </c>
      <c r="B286" s="107" t="s">
        <v>345</v>
      </c>
      <c r="C286" s="107" t="s">
        <v>318</v>
      </c>
      <c r="D286" s="107" t="s">
        <v>265</v>
      </c>
      <c r="E286" s="107" t="s">
        <v>266</v>
      </c>
      <c r="F286" s="108">
        <f>'Приложение 2'!D131</f>
        <v>15400000</v>
      </c>
      <c r="G286" s="108">
        <f>'Приложение 2'!E131</f>
        <v>15600000</v>
      </c>
      <c r="H286" s="108">
        <f>'Приложение 2'!F131</f>
        <v>15600000</v>
      </c>
    </row>
    <row r="287" spans="1:8" s="140" customFormat="1" ht="33.75">
      <c r="A287" s="66" t="s">
        <v>286</v>
      </c>
      <c r="B287" s="105" t="s">
        <v>345</v>
      </c>
      <c r="C287" s="105" t="s">
        <v>318</v>
      </c>
      <c r="D287" s="105" t="s">
        <v>420</v>
      </c>
      <c r="E287" s="105"/>
      <c r="F287" s="106">
        <f>F288</f>
        <v>6010228.930000001</v>
      </c>
      <c r="G287" s="106">
        <f>G288</f>
        <v>6000000</v>
      </c>
      <c r="H287" s="106">
        <f>H288</f>
        <v>6000000</v>
      </c>
    </row>
    <row r="288" spans="1:8" s="138" customFormat="1" ht="16.5">
      <c r="A288" s="46" t="s">
        <v>287</v>
      </c>
      <c r="B288" s="107" t="s">
        <v>345</v>
      </c>
      <c r="C288" s="107" t="s">
        <v>318</v>
      </c>
      <c r="D288" s="107" t="s">
        <v>421</v>
      </c>
      <c r="E288" s="107"/>
      <c r="F288" s="108">
        <f>F290+F291+F289</f>
        <v>6010228.930000001</v>
      </c>
      <c r="G288" s="108">
        <f>G290+G291+G289</f>
        <v>6000000</v>
      </c>
      <c r="H288" s="108">
        <f>H290+H291+H289</f>
        <v>6000000</v>
      </c>
    </row>
    <row r="289" spans="1:8" s="138" customFormat="1" ht="67.5">
      <c r="A289" s="46" t="s">
        <v>194</v>
      </c>
      <c r="B289" s="107" t="s">
        <v>345</v>
      </c>
      <c r="C289" s="107" t="s">
        <v>318</v>
      </c>
      <c r="D289" s="107" t="s">
        <v>421</v>
      </c>
      <c r="E289" s="107" t="s">
        <v>229</v>
      </c>
      <c r="F289" s="108">
        <f>'Приложение 2'!D165</f>
        <v>36370</v>
      </c>
      <c r="G289" s="108">
        <f>'Приложение 2'!E165</f>
        <v>0</v>
      </c>
      <c r="H289" s="108">
        <f>'Приложение 2'!F165</f>
        <v>0</v>
      </c>
    </row>
    <row r="290" spans="1:8" s="138" customFormat="1" ht="33.75">
      <c r="A290" s="46" t="s">
        <v>195</v>
      </c>
      <c r="B290" s="107" t="s">
        <v>345</v>
      </c>
      <c r="C290" s="107" t="s">
        <v>318</v>
      </c>
      <c r="D290" s="107" t="s">
        <v>421</v>
      </c>
      <c r="E290" s="107" t="s">
        <v>252</v>
      </c>
      <c r="F290" s="108">
        <f>'Приложение 2'!D166</f>
        <v>273859.4</v>
      </c>
      <c r="G290" s="108">
        <f>'Приложение 2'!E166</f>
        <v>300000</v>
      </c>
      <c r="H290" s="108">
        <f>'Приложение 2'!F166</f>
        <v>300000</v>
      </c>
    </row>
    <row r="291" spans="1:8" s="138" customFormat="1" ht="33.75">
      <c r="A291" s="46" t="s">
        <v>204</v>
      </c>
      <c r="B291" s="107" t="s">
        <v>345</v>
      </c>
      <c r="C291" s="107" t="s">
        <v>318</v>
      </c>
      <c r="D291" s="107" t="s">
        <v>421</v>
      </c>
      <c r="E291" s="107" t="s">
        <v>338</v>
      </c>
      <c r="F291" s="108">
        <f>'Приложение 2'!D167</f>
        <v>5699999.53</v>
      </c>
      <c r="G291" s="108">
        <f>'Приложение 2'!E167</f>
        <v>5700000</v>
      </c>
      <c r="H291" s="108">
        <f>'Приложение 2'!F167</f>
        <v>5700000</v>
      </c>
    </row>
    <row r="292" spans="1:8" s="138" customFormat="1" ht="16.5">
      <c r="A292" s="70" t="s">
        <v>311</v>
      </c>
      <c r="B292" s="105" t="s">
        <v>345</v>
      </c>
      <c r="C292" s="105" t="s">
        <v>318</v>
      </c>
      <c r="D292" s="105" t="s">
        <v>332</v>
      </c>
      <c r="E292" s="105"/>
      <c r="F292" s="106">
        <f>F293</f>
        <v>29826711.990000002</v>
      </c>
      <c r="G292" s="106">
        <f>G293</f>
        <v>0</v>
      </c>
      <c r="H292" s="106">
        <f>H293</f>
        <v>0</v>
      </c>
    </row>
    <row r="293" spans="1:8" s="138" customFormat="1" ht="16.5">
      <c r="A293" s="48" t="s">
        <v>331</v>
      </c>
      <c r="B293" s="107" t="s">
        <v>345</v>
      </c>
      <c r="C293" s="107" t="s">
        <v>318</v>
      </c>
      <c r="D293" s="107" t="s">
        <v>332</v>
      </c>
      <c r="E293" s="107"/>
      <c r="F293" s="108">
        <f>F295+F294</f>
        <v>29826711.990000002</v>
      </c>
      <c r="G293" s="108">
        <f>G295+G294</f>
        <v>0</v>
      </c>
      <c r="H293" s="108">
        <f>H295+H294</f>
        <v>0</v>
      </c>
    </row>
    <row r="294" spans="1:8" s="138" customFormat="1" ht="33.75">
      <c r="A294" s="46" t="s">
        <v>195</v>
      </c>
      <c r="B294" s="107" t="s">
        <v>345</v>
      </c>
      <c r="C294" s="107" t="s">
        <v>318</v>
      </c>
      <c r="D294" s="107" t="s">
        <v>332</v>
      </c>
      <c r="E294" s="107" t="s">
        <v>252</v>
      </c>
      <c r="F294" s="108">
        <f>'Приложение 3'!F199</f>
        <v>3050171.99</v>
      </c>
      <c r="G294" s="108">
        <f>'Приложение 3'!G199</f>
        <v>0</v>
      </c>
      <c r="H294" s="108">
        <f>'Приложение 3'!H199</f>
        <v>0</v>
      </c>
    </row>
    <row r="295" spans="1:8" s="138" customFormat="1" ht="33.75">
      <c r="A295" s="48" t="s">
        <v>220</v>
      </c>
      <c r="B295" s="107" t="s">
        <v>345</v>
      </c>
      <c r="C295" s="107" t="s">
        <v>318</v>
      </c>
      <c r="D295" s="107" t="s">
        <v>332</v>
      </c>
      <c r="E295" s="107" t="s">
        <v>266</v>
      </c>
      <c r="F295" s="108">
        <f>'Приложение 3'!F200</f>
        <v>26776540</v>
      </c>
      <c r="G295" s="108">
        <f>'Приложение 3'!G200</f>
        <v>0</v>
      </c>
      <c r="H295" s="108">
        <f>'Приложение 3'!H200</f>
        <v>0</v>
      </c>
    </row>
    <row r="296" spans="1:8" s="37" customFormat="1" ht="16.5">
      <c r="A296" s="70" t="s">
        <v>378</v>
      </c>
      <c r="B296" s="105" t="s">
        <v>345</v>
      </c>
      <c r="C296" s="105" t="s">
        <v>322</v>
      </c>
      <c r="D296" s="105"/>
      <c r="E296" s="105"/>
      <c r="F296" s="106">
        <f>F297+F301+F305+F308</f>
        <v>44226055.81</v>
      </c>
      <c r="G296" s="106">
        <f>G297+G301+G305+G308</f>
        <v>43600711.129999995</v>
      </c>
      <c r="H296" s="106">
        <f>H297+H301+H305+H308</f>
        <v>43600711.129999995</v>
      </c>
    </row>
    <row r="297" spans="1:8" ht="33.75">
      <c r="A297" s="66" t="s">
        <v>422</v>
      </c>
      <c r="B297" s="105" t="s">
        <v>345</v>
      </c>
      <c r="C297" s="105" t="s">
        <v>322</v>
      </c>
      <c r="D297" s="141" t="s">
        <v>242</v>
      </c>
      <c r="E297" s="105"/>
      <c r="F297" s="106">
        <f>F298</f>
        <v>2162313.69</v>
      </c>
      <c r="G297" s="106">
        <f>G298</f>
        <v>2233711.13</v>
      </c>
      <c r="H297" s="106">
        <f>H298</f>
        <v>2233711.13</v>
      </c>
    </row>
    <row r="298" spans="1:8" ht="16.5">
      <c r="A298" s="48" t="s">
        <v>248</v>
      </c>
      <c r="B298" s="107" t="s">
        <v>345</v>
      </c>
      <c r="C298" s="107" t="s">
        <v>322</v>
      </c>
      <c r="D298" s="142" t="s">
        <v>249</v>
      </c>
      <c r="E298" s="107"/>
      <c r="F298" s="108">
        <f>F299+F300</f>
        <v>2162313.69</v>
      </c>
      <c r="G298" s="108">
        <f>G299+G300</f>
        <v>2233711.13</v>
      </c>
      <c r="H298" s="108">
        <f>H299+H300</f>
        <v>2233711.13</v>
      </c>
    </row>
    <row r="299" spans="1:8" ht="33.75">
      <c r="A299" s="48" t="s">
        <v>195</v>
      </c>
      <c r="B299" s="107" t="s">
        <v>345</v>
      </c>
      <c r="C299" s="107" t="s">
        <v>322</v>
      </c>
      <c r="D299" s="142" t="s">
        <v>249</v>
      </c>
      <c r="E299" s="107" t="s">
        <v>252</v>
      </c>
      <c r="F299" s="108">
        <f>'Приложение 2'!D113</f>
        <v>1503141.51</v>
      </c>
      <c r="G299" s="108">
        <f>'Приложение 2'!E113</f>
        <v>1358999.13</v>
      </c>
      <c r="H299" s="108">
        <f>'Приложение 2'!F113</f>
        <v>1358999.13</v>
      </c>
    </row>
    <row r="300" spans="1:8" ht="16.5">
      <c r="A300" s="48" t="s">
        <v>196</v>
      </c>
      <c r="B300" s="107" t="s">
        <v>345</v>
      </c>
      <c r="C300" s="107" t="s">
        <v>322</v>
      </c>
      <c r="D300" s="142" t="s">
        <v>249</v>
      </c>
      <c r="E300" s="107" t="s">
        <v>257</v>
      </c>
      <c r="F300" s="108">
        <f>'Приложение 2'!D114</f>
        <v>659172.18</v>
      </c>
      <c r="G300" s="108">
        <f>'Приложение 2'!E114</f>
        <v>874712</v>
      </c>
      <c r="H300" s="108">
        <f>'Приложение 2'!F114</f>
        <v>874712</v>
      </c>
    </row>
    <row r="301" spans="1:8" ht="16.5">
      <c r="A301" s="70" t="s">
        <v>253</v>
      </c>
      <c r="B301" s="105" t="s">
        <v>345</v>
      </c>
      <c r="C301" s="105" t="s">
        <v>322</v>
      </c>
      <c r="D301" s="105" t="s">
        <v>254</v>
      </c>
      <c r="E301" s="105"/>
      <c r="F301" s="106">
        <f>F302</f>
        <v>1924830</v>
      </c>
      <c r="G301" s="106">
        <f>G302</f>
        <v>2067000</v>
      </c>
      <c r="H301" s="106">
        <f>H302</f>
        <v>2067000</v>
      </c>
    </row>
    <row r="302" spans="1:8" ht="16.5">
      <c r="A302" s="48" t="s">
        <v>255</v>
      </c>
      <c r="B302" s="107" t="s">
        <v>345</v>
      </c>
      <c r="C302" s="107" t="s">
        <v>322</v>
      </c>
      <c r="D302" s="107" t="s">
        <v>256</v>
      </c>
      <c r="E302" s="107"/>
      <c r="F302" s="108">
        <f>SUM(F303:F304)</f>
        <v>1924830</v>
      </c>
      <c r="G302" s="108">
        <f>SUM(G303:G304)</f>
        <v>2067000</v>
      </c>
      <c r="H302" s="108">
        <f>SUM(H303:H304)</f>
        <v>2067000</v>
      </c>
    </row>
    <row r="303" spans="1:8" ht="33.75">
      <c r="A303" s="48" t="s">
        <v>195</v>
      </c>
      <c r="B303" s="107" t="s">
        <v>345</v>
      </c>
      <c r="C303" s="107" t="s">
        <v>322</v>
      </c>
      <c r="D303" s="107" t="s">
        <v>256</v>
      </c>
      <c r="E303" s="107" t="s">
        <v>252</v>
      </c>
      <c r="F303" s="108">
        <f>'Приложение 2'!D119</f>
        <v>194000</v>
      </c>
      <c r="G303" s="108">
        <f>'Приложение 2'!E119</f>
        <v>194000</v>
      </c>
      <c r="H303" s="108">
        <f>'Приложение 2'!F119</f>
        <v>194000</v>
      </c>
    </row>
    <row r="304" spans="1:8" ht="16.5">
      <c r="A304" s="48" t="s">
        <v>196</v>
      </c>
      <c r="B304" s="107" t="s">
        <v>345</v>
      </c>
      <c r="C304" s="107" t="s">
        <v>322</v>
      </c>
      <c r="D304" s="107" t="s">
        <v>256</v>
      </c>
      <c r="E304" s="107" t="s">
        <v>257</v>
      </c>
      <c r="F304" s="108">
        <f>600000+68000+1070830-8000</f>
        <v>1730830</v>
      </c>
      <c r="G304" s="108">
        <f>600000+84000+1189000</f>
        <v>1873000</v>
      </c>
      <c r="H304" s="108">
        <f>600000+84000+1189000</f>
        <v>1873000</v>
      </c>
    </row>
    <row r="305" spans="1:8" ht="51">
      <c r="A305" s="70" t="s">
        <v>260</v>
      </c>
      <c r="B305" s="105" t="s">
        <v>345</v>
      </c>
      <c r="C305" s="105" t="s">
        <v>322</v>
      </c>
      <c r="D305" s="105" t="s">
        <v>261</v>
      </c>
      <c r="E305" s="105"/>
      <c r="F305" s="106">
        <f aca="true" t="shared" si="25" ref="F305:H306">F306</f>
        <v>23973312.12</v>
      </c>
      <c r="G305" s="106">
        <f t="shared" si="25"/>
        <v>25800000</v>
      </c>
      <c r="H305" s="106">
        <f t="shared" si="25"/>
        <v>25800000</v>
      </c>
    </row>
    <row r="306" spans="1:8" ht="16.5">
      <c r="A306" s="48" t="s">
        <v>264</v>
      </c>
      <c r="B306" s="107" t="s">
        <v>345</v>
      </c>
      <c r="C306" s="107" t="s">
        <v>322</v>
      </c>
      <c r="D306" s="107" t="s">
        <v>265</v>
      </c>
      <c r="E306" s="107"/>
      <c r="F306" s="108">
        <f t="shared" si="25"/>
        <v>23973312.12</v>
      </c>
      <c r="G306" s="108">
        <f t="shared" si="25"/>
        <v>25800000</v>
      </c>
      <c r="H306" s="108">
        <f t="shared" si="25"/>
        <v>25800000</v>
      </c>
    </row>
    <row r="307" spans="1:8" ht="16.5">
      <c r="A307" s="48" t="s">
        <v>196</v>
      </c>
      <c r="B307" s="107" t="s">
        <v>345</v>
      </c>
      <c r="C307" s="107" t="s">
        <v>322</v>
      </c>
      <c r="D307" s="107" t="s">
        <v>265</v>
      </c>
      <c r="E307" s="107" t="s">
        <v>257</v>
      </c>
      <c r="F307" s="108">
        <f>24100000-522878.16+396190.28</f>
        <v>23973312.12</v>
      </c>
      <c r="G307" s="108">
        <v>25800000</v>
      </c>
      <c r="H307" s="108">
        <v>25800000</v>
      </c>
    </row>
    <row r="308" spans="1:8" ht="16.5">
      <c r="A308" s="70" t="s">
        <v>311</v>
      </c>
      <c r="B308" s="105" t="s">
        <v>345</v>
      </c>
      <c r="C308" s="105" t="s">
        <v>322</v>
      </c>
      <c r="D308" s="105" t="s">
        <v>312</v>
      </c>
      <c r="E308" s="105"/>
      <c r="F308" s="106">
        <f>F309</f>
        <v>16165600</v>
      </c>
      <c r="G308" s="106">
        <f>G309</f>
        <v>13500000</v>
      </c>
      <c r="H308" s="106">
        <f>H309</f>
        <v>13500000</v>
      </c>
    </row>
    <row r="309" spans="1:8" ht="16.5">
      <c r="A309" s="48" t="s">
        <v>331</v>
      </c>
      <c r="B309" s="107" t="s">
        <v>345</v>
      </c>
      <c r="C309" s="107" t="s">
        <v>322</v>
      </c>
      <c r="D309" s="107" t="s">
        <v>332</v>
      </c>
      <c r="E309" s="107"/>
      <c r="F309" s="108">
        <f>F310+F311+F312</f>
        <v>16165600</v>
      </c>
      <c r="G309" s="108">
        <f>G310+G311+G312</f>
        <v>13500000</v>
      </c>
      <c r="H309" s="108">
        <f>H310+H311+H312</f>
        <v>13500000</v>
      </c>
    </row>
    <row r="310" spans="1:8" ht="33.75">
      <c r="A310" s="48" t="s">
        <v>195</v>
      </c>
      <c r="B310" s="107" t="s">
        <v>345</v>
      </c>
      <c r="C310" s="107" t="s">
        <v>322</v>
      </c>
      <c r="D310" s="107" t="s">
        <v>332</v>
      </c>
      <c r="E310" s="107" t="s">
        <v>252</v>
      </c>
      <c r="F310" s="108">
        <f>'Приложение 3'!F207</f>
        <v>145566.35</v>
      </c>
      <c r="G310" s="108">
        <f>'Приложение 3'!G207</f>
        <v>197734</v>
      </c>
      <c r="H310" s="108">
        <f>'Приложение 3'!H207</f>
        <v>197734</v>
      </c>
    </row>
    <row r="311" spans="1:8" ht="16.5">
      <c r="A311" s="48" t="s">
        <v>196</v>
      </c>
      <c r="B311" s="107" t="s">
        <v>345</v>
      </c>
      <c r="C311" s="107" t="s">
        <v>322</v>
      </c>
      <c r="D311" s="107" t="s">
        <v>332</v>
      </c>
      <c r="E311" s="107" t="s">
        <v>257</v>
      </c>
      <c r="F311" s="108">
        <f>'Приложение 3'!F208</f>
        <v>13354433.65</v>
      </c>
      <c r="G311" s="108">
        <f>'Приложение 3'!G208</f>
        <v>13302266</v>
      </c>
      <c r="H311" s="108">
        <f>'Приложение 3'!H208</f>
        <v>13302266</v>
      </c>
    </row>
    <row r="312" spans="1:8" ht="33.75">
      <c r="A312" s="48" t="s">
        <v>220</v>
      </c>
      <c r="B312" s="107" t="s">
        <v>345</v>
      </c>
      <c r="C312" s="107" t="s">
        <v>322</v>
      </c>
      <c r="D312" s="107" t="s">
        <v>332</v>
      </c>
      <c r="E312" s="107" t="s">
        <v>266</v>
      </c>
      <c r="F312" s="108">
        <f>'Приложение 3'!F209</f>
        <v>2665600</v>
      </c>
      <c r="G312" s="108">
        <f>'Приложение 3'!G209</f>
        <v>0</v>
      </c>
      <c r="H312" s="108">
        <f>'Приложение 3'!H209</f>
        <v>0</v>
      </c>
    </row>
    <row r="313" spans="1:8" s="37" customFormat="1" ht="16.5">
      <c r="A313" s="70" t="s">
        <v>379</v>
      </c>
      <c r="B313" s="105" t="s">
        <v>345</v>
      </c>
      <c r="C313" s="105" t="s">
        <v>326</v>
      </c>
      <c r="D313" s="105"/>
      <c r="E313" s="105"/>
      <c r="F313" s="106">
        <f>F314+F321+F326</f>
        <v>23091812.689999998</v>
      </c>
      <c r="G313" s="106">
        <f>G314+G321+G326</f>
        <v>12136803.129999999</v>
      </c>
      <c r="H313" s="106">
        <f>H314+H321+H326</f>
        <v>12049271.879999999</v>
      </c>
    </row>
    <row r="314" spans="1:8" ht="16.5">
      <c r="A314" s="70" t="s">
        <v>253</v>
      </c>
      <c r="B314" s="105" t="s">
        <v>345</v>
      </c>
      <c r="C314" s="105" t="s">
        <v>326</v>
      </c>
      <c r="D314" s="105" t="s">
        <v>254</v>
      </c>
      <c r="E314" s="105"/>
      <c r="F314" s="106">
        <f>F315+F317</f>
        <v>2762478</v>
      </c>
      <c r="G314" s="106">
        <f>G315+G317</f>
        <v>5167387.1</v>
      </c>
      <c r="H314" s="106">
        <f>H315+H317</f>
        <v>5079855.85</v>
      </c>
    </row>
    <row r="315" spans="1:8" ht="16.5">
      <c r="A315" s="48" t="s">
        <v>255</v>
      </c>
      <c r="B315" s="107" t="s">
        <v>345</v>
      </c>
      <c r="C315" s="107" t="s">
        <v>326</v>
      </c>
      <c r="D315" s="107" t="s">
        <v>256</v>
      </c>
      <c r="E315" s="107"/>
      <c r="F315" s="108">
        <f>F316</f>
        <v>2088496</v>
      </c>
      <c r="G315" s="108">
        <f>G316</f>
        <v>2596000</v>
      </c>
      <c r="H315" s="108">
        <f>H316</f>
        <v>2700000</v>
      </c>
    </row>
    <row r="316" spans="1:8" ht="16.5">
      <c r="A316" s="48" t="s">
        <v>196</v>
      </c>
      <c r="B316" s="107" t="s">
        <v>345</v>
      </c>
      <c r="C316" s="107" t="s">
        <v>326</v>
      </c>
      <c r="D316" s="107" t="s">
        <v>256</v>
      </c>
      <c r="E316" s="107" t="s">
        <v>257</v>
      </c>
      <c r="F316" s="108">
        <f>'Приложение 2'!D120-'Приложение 4'!F304-'Приложение 4'!F278</f>
        <v>2088496</v>
      </c>
      <c r="G316" s="108">
        <f>'Приложение 2'!E120-'Приложение 4'!G304-'Приложение 4'!G278</f>
        <v>2596000</v>
      </c>
      <c r="H316" s="108">
        <f>'Приложение 2'!F120-'Приложение 4'!H304-'Приложение 4'!H278</f>
        <v>2700000</v>
      </c>
    </row>
    <row r="317" spans="1:8" ht="16.5">
      <c r="A317" s="48" t="s">
        <v>258</v>
      </c>
      <c r="B317" s="107" t="s">
        <v>345</v>
      </c>
      <c r="C317" s="107" t="s">
        <v>326</v>
      </c>
      <c r="D317" s="107" t="s">
        <v>259</v>
      </c>
      <c r="E317" s="107"/>
      <c r="F317" s="108">
        <f>SUM(F318:F320)</f>
        <v>673981.9999999999</v>
      </c>
      <c r="G317" s="108">
        <f>SUM(G318:G320)</f>
        <v>2571387.1</v>
      </c>
      <c r="H317" s="108">
        <f>SUM(H318:H320)</f>
        <v>2379855.85</v>
      </c>
    </row>
    <row r="318" spans="1:8" ht="67.5" hidden="1">
      <c r="A318" s="48" t="s">
        <v>194</v>
      </c>
      <c r="B318" s="107" t="s">
        <v>345</v>
      </c>
      <c r="C318" s="107" t="s">
        <v>326</v>
      </c>
      <c r="D318" s="107" t="s">
        <v>259</v>
      </c>
      <c r="E318" s="107" t="s">
        <v>229</v>
      </c>
      <c r="F318" s="108">
        <f>'Приложение 2'!D122</f>
        <v>0</v>
      </c>
      <c r="G318" s="108">
        <f>'Приложение 2'!E122</f>
        <v>0</v>
      </c>
      <c r="H318" s="108">
        <f>'Приложение 2'!F122</f>
        <v>0</v>
      </c>
    </row>
    <row r="319" spans="1:8" ht="33.75">
      <c r="A319" s="48" t="s">
        <v>195</v>
      </c>
      <c r="B319" s="107" t="s">
        <v>345</v>
      </c>
      <c r="C319" s="107" t="s">
        <v>326</v>
      </c>
      <c r="D319" s="107" t="s">
        <v>259</v>
      </c>
      <c r="E319" s="107" t="s">
        <v>252</v>
      </c>
      <c r="F319" s="108">
        <f>'Приложение 2'!D123</f>
        <v>673981.9999999999</v>
      </c>
      <c r="G319" s="108">
        <f>'Приложение 2'!E123</f>
        <v>2331387.1</v>
      </c>
      <c r="H319" s="108">
        <f>'Приложение 2'!F123</f>
        <v>2379855.85</v>
      </c>
    </row>
    <row r="320" spans="1:8" ht="16.5">
      <c r="A320" s="48" t="s">
        <v>196</v>
      </c>
      <c r="B320" s="107" t="s">
        <v>345</v>
      </c>
      <c r="C320" s="107" t="s">
        <v>326</v>
      </c>
      <c r="D320" s="107" t="s">
        <v>259</v>
      </c>
      <c r="E320" s="107" t="s">
        <v>257</v>
      </c>
      <c r="F320" s="108">
        <f>'Приложение 2'!D124</f>
        <v>0</v>
      </c>
      <c r="G320" s="108">
        <f>'Приложение 2'!E124</f>
        <v>240000</v>
      </c>
      <c r="H320" s="108">
        <f>'Приложение 2'!F124</f>
        <v>0</v>
      </c>
    </row>
    <row r="321" spans="1:8" ht="16.5">
      <c r="A321" s="70" t="s">
        <v>423</v>
      </c>
      <c r="B321" s="105" t="s">
        <v>345</v>
      </c>
      <c r="C321" s="105" t="s">
        <v>326</v>
      </c>
      <c r="D321" s="105" t="s">
        <v>283</v>
      </c>
      <c r="E321" s="105"/>
      <c r="F321" s="106">
        <f>F322</f>
        <v>2995900</v>
      </c>
      <c r="G321" s="106">
        <f>G322</f>
        <v>2995900</v>
      </c>
      <c r="H321" s="106">
        <f>H322</f>
        <v>2995900</v>
      </c>
    </row>
    <row r="322" spans="1:8" ht="33.75">
      <c r="A322" s="159" t="s">
        <v>284</v>
      </c>
      <c r="B322" s="107" t="s">
        <v>345</v>
      </c>
      <c r="C322" s="107" t="s">
        <v>326</v>
      </c>
      <c r="D322" s="107" t="s">
        <v>285</v>
      </c>
      <c r="E322" s="107"/>
      <c r="F322" s="108">
        <f>SUM(F323:F325)</f>
        <v>2995900</v>
      </c>
      <c r="G322" s="108">
        <f>SUM(G323:G325)</f>
        <v>2995900</v>
      </c>
      <c r="H322" s="108">
        <f>SUM(H323:H325)</f>
        <v>2995900</v>
      </c>
    </row>
    <row r="323" spans="1:8" ht="67.5">
      <c r="A323" s="160" t="s">
        <v>194</v>
      </c>
      <c r="B323" s="107" t="s">
        <v>345</v>
      </c>
      <c r="C323" s="107" t="s">
        <v>326</v>
      </c>
      <c r="D323" s="107" t="s">
        <v>285</v>
      </c>
      <c r="E323" s="107" t="s">
        <v>229</v>
      </c>
      <c r="F323" s="108">
        <f>'Приложение 2'!D160</f>
        <v>272580</v>
      </c>
      <c r="G323" s="108">
        <f>'Приложение 2'!E160</f>
        <v>127200</v>
      </c>
      <c r="H323" s="108">
        <f>'Приложение 2'!F160</f>
        <v>127200</v>
      </c>
    </row>
    <row r="324" spans="1:8" ht="33.75">
      <c r="A324" s="48" t="s">
        <v>195</v>
      </c>
      <c r="B324" s="107" t="s">
        <v>345</v>
      </c>
      <c r="C324" s="107" t="s">
        <v>326</v>
      </c>
      <c r="D324" s="107" t="s">
        <v>285</v>
      </c>
      <c r="E324" s="107" t="s">
        <v>252</v>
      </c>
      <c r="F324" s="108">
        <f>'Приложение 2'!D161</f>
        <v>1269598.02</v>
      </c>
      <c r="G324" s="108">
        <f>'Приложение 2'!E161</f>
        <v>1004200</v>
      </c>
      <c r="H324" s="108">
        <f>'Приложение 2'!F161</f>
        <v>1004200</v>
      </c>
    </row>
    <row r="325" spans="1:8" ht="16.5">
      <c r="A325" s="48" t="s">
        <v>196</v>
      </c>
      <c r="B325" s="107" t="s">
        <v>345</v>
      </c>
      <c r="C325" s="107" t="s">
        <v>326</v>
      </c>
      <c r="D325" s="107" t="s">
        <v>285</v>
      </c>
      <c r="E325" s="107" t="s">
        <v>257</v>
      </c>
      <c r="F325" s="108">
        <f>'Приложение 2'!D162</f>
        <v>1453721.98</v>
      </c>
      <c r="G325" s="108">
        <f>'Приложение 2'!E162</f>
        <v>1864500</v>
      </c>
      <c r="H325" s="108">
        <f>'Приложение 2'!F162</f>
        <v>1864500</v>
      </c>
    </row>
    <row r="326" spans="1:8" ht="16.5">
      <c r="A326" s="70" t="s">
        <v>311</v>
      </c>
      <c r="B326" s="105" t="s">
        <v>345</v>
      </c>
      <c r="C326" s="105" t="s">
        <v>326</v>
      </c>
      <c r="D326" s="105" t="s">
        <v>312</v>
      </c>
      <c r="E326" s="107"/>
      <c r="F326" s="106">
        <f>F327+F329</f>
        <v>17333434.689999998</v>
      </c>
      <c r="G326" s="106">
        <f>G327+G329</f>
        <v>3973516.03</v>
      </c>
      <c r="H326" s="106">
        <f>H327+H329</f>
        <v>3973516.03</v>
      </c>
    </row>
    <row r="327" spans="1:8" ht="33.75">
      <c r="A327" s="48" t="s">
        <v>313</v>
      </c>
      <c r="B327" s="107" t="s">
        <v>345</v>
      </c>
      <c r="C327" s="107" t="s">
        <v>326</v>
      </c>
      <c r="D327" s="107" t="s">
        <v>314</v>
      </c>
      <c r="E327" s="107"/>
      <c r="F327" s="108">
        <f>F328</f>
        <v>4898914.91</v>
      </c>
      <c r="G327" s="108">
        <f>G328</f>
        <v>2854216.03</v>
      </c>
      <c r="H327" s="108">
        <f>H328</f>
        <v>2854216.03</v>
      </c>
    </row>
    <row r="328" spans="1:8" ht="67.5">
      <c r="A328" s="48" t="s">
        <v>194</v>
      </c>
      <c r="B328" s="107" t="s">
        <v>345</v>
      </c>
      <c r="C328" s="107" t="s">
        <v>326</v>
      </c>
      <c r="D328" s="107" t="s">
        <v>314</v>
      </c>
      <c r="E328" s="107" t="s">
        <v>229</v>
      </c>
      <c r="F328" s="108">
        <f>'Приложение 3'!F214</f>
        <v>4898914.91</v>
      </c>
      <c r="G328" s="108">
        <f>'Приложение 3'!G214</f>
        <v>2854216.03</v>
      </c>
      <c r="H328" s="108">
        <f>'Приложение 3'!H214</f>
        <v>2854216.03</v>
      </c>
    </row>
    <row r="329" spans="1:8" ht="16.5">
      <c r="A329" s="48" t="s">
        <v>331</v>
      </c>
      <c r="B329" s="107" t="s">
        <v>345</v>
      </c>
      <c r="C329" s="107" t="s">
        <v>326</v>
      </c>
      <c r="D329" s="107" t="s">
        <v>332</v>
      </c>
      <c r="E329" s="107"/>
      <c r="F329" s="108">
        <f>SUM(F330:F331)</f>
        <v>12434519.78</v>
      </c>
      <c r="G329" s="108">
        <f>SUM(G330:G331)</f>
        <v>1119300</v>
      </c>
      <c r="H329" s="108">
        <f>SUM(H330:H331)</f>
        <v>1119300</v>
      </c>
    </row>
    <row r="330" spans="1:8" ht="33.75" hidden="1">
      <c r="A330" s="48" t="s">
        <v>195</v>
      </c>
      <c r="B330" s="107" t="s">
        <v>345</v>
      </c>
      <c r="C330" s="107" t="s">
        <v>326</v>
      </c>
      <c r="D330" s="107" t="s">
        <v>332</v>
      </c>
      <c r="E330" s="107" t="s">
        <v>252</v>
      </c>
      <c r="F330" s="108">
        <v>0</v>
      </c>
      <c r="G330" s="108">
        <v>0</v>
      </c>
      <c r="H330" s="108">
        <v>0</v>
      </c>
    </row>
    <row r="331" spans="1:8" ht="16.5">
      <c r="A331" s="48" t="s">
        <v>196</v>
      </c>
      <c r="B331" s="107" t="s">
        <v>345</v>
      </c>
      <c r="C331" s="107" t="s">
        <v>326</v>
      </c>
      <c r="D331" s="107" t="s">
        <v>332</v>
      </c>
      <c r="E331" s="107" t="s">
        <v>257</v>
      </c>
      <c r="F331" s="108">
        <f>'Приложение 3'!F220+'Приложение 3'!F217</f>
        <v>12434519.78</v>
      </c>
      <c r="G331" s="108">
        <f>'Приложение 3'!G220+'Приложение 3'!G217</f>
        <v>1119300</v>
      </c>
      <c r="H331" s="108">
        <f>'Приложение 3'!H220+'Приложение 3'!H217</f>
        <v>1119300</v>
      </c>
    </row>
    <row r="332" spans="1:8" ht="16.5">
      <c r="A332" s="70" t="s">
        <v>380</v>
      </c>
      <c r="B332" s="105" t="s">
        <v>330</v>
      </c>
      <c r="C332" s="105"/>
      <c r="D332" s="105"/>
      <c r="E332" s="105"/>
      <c r="F332" s="106">
        <f>F333+F348</f>
        <v>189478039.39000002</v>
      </c>
      <c r="G332" s="106">
        <f>G333+G348</f>
        <v>138072363.33999997</v>
      </c>
      <c r="H332" s="106">
        <f>H333+H348</f>
        <v>139031568.62</v>
      </c>
    </row>
    <row r="333" spans="1:8" ht="16.5">
      <c r="A333" s="70" t="s">
        <v>381</v>
      </c>
      <c r="B333" s="105" t="s">
        <v>330</v>
      </c>
      <c r="C333" s="105" t="s">
        <v>308</v>
      </c>
      <c r="D333" s="105"/>
      <c r="E333" s="105"/>
      <c r="F333" s="106">
        <f>F334+F343</f>
        <v>180893115.16000003</v>
      </c>
      <c r="G333" s="106">
        <f>G334+G343</f>
        <v>130072363.33999999</v>
      </c>
      <c r="H333" s="106">
        <f>H334+H343</f>
        <v>131031568.61999999</v>
      </c>
    </row>
    <row r="334" spans="1:8" ht="33.75">
      <c r="A334" s="70" t="s">
        <v>275</v>
      </c>
      <c r="B334" s="105" t="s">
        <v>330</v>
      </c>
      <c r="C334" s="105" t="s">
        <v>308</v>
      </c>
      <c r="D334" s="105" t="s">
        <v>276</v>
      </c>
      <c r="E334" s="105"/>
      <c r="F334" s="106">
        <f>F335+F340</f>
        <v>132077484.07000001</v>
      </c>
      <c r="G334" s="106">
        <f>G335+G340</f>
        <v>130072363.33999999</v>
      </c>
      <c r="H334" s="106">
        <f>H335+H340</f>
        <v>131031568.61999999</v>
      </c>
    </row>
    <row r="335" spans="1:8" ht="16.5">
      <c r="A335" s="48" t="s">
        <v>192</v>
      </c>
      <c r="B335" s="107" t="s">
        <v>330</v>
      </c>
      <c r="C335" s="107" t="s">
        <v>308</v>
      </c>
      <c r="D335" s="107" t="s">
        <v>277</v>
      </c>
      <c r="E335" s="107"/>
      <c r="F335" s="108">
        <f>SUM(F336:F339)</f>
        <v>125074381.2</v>
      </c>
      <c r="G335" s="108">
        <f>SUM(G336:G339)</f>
        <v>122072363.33999999</v>
      </c>
      <c r="H335" s="108">
        <f>SUM(H336:H339)</f>
        <v>123031568.61999999</v>
      </c>
    </row>
    <row r="336" spans="1:8" ht="67.5">
      <c r="A336" s="48" t="s">
        <v>194</v>
      </c>
      <c r="B336" s="107" t="s">
        <v>330</v>
      </c>
      <c r="C336" s="107" t="s">
        <v>308</v>
      </c>
      <c r="D336" s="107" t="s">
        <v>277</v>
      </c>
      <c r="E336" s="107" t="s">
        <v>229</v>
      </c>
      <c r="F336" s="108">
        <f>'Приложение 2'!D148</f>
        <v>97953234.64</v>
      </c>
      <c r="G336" s="108">
        <f>'Приложение 2'!E148</f>
        <v>93985125.77</v>
      </c>
      <c r="H336" s="108">
        <f>'Приложение 2'!F148</f>
        <v>93985125.77</v>
      </c>
    </row>
    <row r="337" spans="1:8" ht="33.75">
      <c r="A337" s="48" t="s">
        <v>195</v>
      </c>
      <c r="B337" s="107" t="s">
        <v>330</v>
      </c>
      <c r="C337" s="107" t="s">
        <v>308</v>
      </c>
      <c r="D337" s="107" t="s">
        <v>277</v>
      </c>
      <c r="E337" s="107" t="s">
        <v>252</v>
      </c>
      <c r="F337" s="108">
        <f>'Приложение 2'!D149</f>
        <v>24025169.45</v>
      </c>
      <c r="G337" s="108">
        <f>'Приложение 2'!E149</f>
        <v>24990260.46</v>
      </c>
      <c r="H337" s="108">
        <f>'Приложение 2'!F149</f>
        <v>25949465.74</v>
      </c>
    </row>
    <row r="338" spans="1:8" ht="16.5">
      <c r="A338" s="48" t="s">
        <v>196</v>
      </c>
      <c r="B338" s="107" t="s">
        <v>330</v>
      </c>
      <c r="C338" s="107" t="s">
        <v>308</v>
      </c>
      <c r="D338" s="107" t="s">
        <v>277</v>
      </c>
      <c r="E338" s="107" t="s">
        <v>257</v>
      </c>
      <c r="F338" s="108">
        <v>0</v>
      </c>
      <c r="G338" s="108">
        <v>0</v>
      </c>
      <c r="H338" s="108">
        <v>0</v>
      </c>
    </row>
    <row r="339" spans="1:8" ht="16.5">
      <c r="A339" s="48" t="s">
        <v>197</v>
      </c>
      <c r="B339" s="107" t="s">
        <v>330</v>
      </c>
      <c r="C339" s="107" t="s">
        <v>308</v>
      </c>
      <c r="D339" s="107" t="s">
        <v>277</v>
      </c>
      <c r="E339" s="107" t="s">
        <v>231</v>
      </c>
      <c r="F339" s="108">
        <f>'Приложение 2'!D151</f>
        <v>3095977.11</v>
      </c>
      <c r="G339" s="108">
        <f>'Приложение 2'!E151</f>
        <v>3096977.11</v>
      </c>
      <c r="H339" s="108">
        <f>'Приложение 2'!F151</f>
        <v>3096977.11</v>
      </c>
    </row>
    <row r="340" spans="1:8" ht="16.5">
      <c r="A340" s="48" t="s">
        <v>280</v>
      </c>
      <c r="B340" s="107" t="s">
        <v>330</v>
      </c>
      <c r="C340" s="107" t="s">
        <v>308</v>
      </c>
      <c r="D340" s="107" t="s">
        <v>281</v>
      </c>
      <c r="E340" s="107"/>
      <c r="F340" s="108">
        <f>SUM(F341:F342)</f>
        <v>7003102.87</v>
      </c>
      <c r="G340" s="108">
        <f>SUM(G341:G342)</f>
        <v>8000000</v>
      </c>
      <c r="H340" s="108">
        <f>SUM(H341:H342)</f>
        <v>8000000</v>
      </c>
    </row>
    <row r="341" spans="1:8" ht="67.5">
      <c r="A341" s="48" t="s">
        <v>194</v>
      </c>
      <c r="B341" s="107" t="s">
        <v>330</v>
      </c>
      <c r="C341" s="107" t="s">
        <v>308</v>
      </c>
      <c r="D341" s="107" t="s">
        <v>281</v>
      </c>
      <c r="E341" s="107" t="s">
        <v>229</v>
      </c>
      <c r="F341" s="108">
        <f>'Приложение 2'!D156</f>
        <v>443102.87</v>
      </c>
      <c r="G341" s="108">
        <f>'Приложение 2'!E156</f>
        <v>2240000</v>
      </c>
      <c r="H341" s="108">
        <f>'Приложение 2'!F156</f>
        <v>2240000</v>
      </c>
    </row>
    <row r="342" spans="1:8" ht="33.75">
      <c r="A342" s="48" t="s">
        <v>195</v>
      </c>
      <c r="B342" s="107" t="s">
        <v>330</v>
      </c>
      <c r="C342" s="107" t="s">
        <v>308</v>
      </c>
      <c r="D342" s="107" t="s">
        <v>281</v>
      </c>
      <c r="E342" s="107" t="s">
        <v>252</v>
      </c>
      <c r="F342" s="108">
        <f>'Приложение 2'!D157</f>
        <v>6560000</v>
      </c>
      <c r="G342" s="108">
        <f>'Приложение 2'!E157</f>
        <v>5760000</v>
      </c>
      <c r="H342" s="108">
        <f>'Приложение 2'!F157</f>
        <v>5760000</v>
      </c>
    </row>
    <row r="343" spans="1:8" s="37" customFormat="1" ht="16.5">
      <c r="A343" s="70" t="s">
        <v>311</v>
      </c>
      <c r="B343" s="105" t="s">
        <v>330</v>
      </c>
      <c r="C343" s="105" t="s">
        <v>308</v>
      </c>
      <c r="D343" s="105" t="s">
        <v>312</v>
      </c>
      <c r="E343" s="105"/>
      <c r="F343" s="106">
        <f>F344</f>
        <v>48815631.09</v>
      </c>
      <c r="G343" s="106">
        <f>G344</f>
        <v>0</v>
      </c>
      <c r="H343" s="106">
        <f>H344</f>
        <v>0</v>
      </c>
    </row>
    <row r="344" spans="1:8" ht="16.5">
      <c r="A344" s="48" t="s">
        <v>331</v>
      </c>
      <c r="B344" s="107" t="s">
        <v>330</v>
      </c>
      <c r="C344" s="107" t="s">
        <v>308</v>
      </c>
      <c r="D344" s="107" t="s">
        <v>332</v>
      </c>
      <c r="E344" s="107"/>
      <c r="F344" s="108">
        <f>SUM(F345:F347)</f>
        <v>48815631.09</v>
      </c>
      <c r="G344" s="108">
        <f>SUM(G345:G347)</f>
        <v>0</v>
      </c>
      <c r="H344" s="108">
        <f>SUM(H345:H347)</f>
        <v>0</v>
      </c>
    </row>
    <row r="345" spans="1:8" ht="33.75">
      <c r="A345" s="48" t="s">
        <v>195</v>
      </c>
      <c r="B345" s="107" t="s">
        <v>330</v>
      </c>
      <c r="C345" s="107" t="s">
        <v>308</v>
      </c>
      <c r="D345" s="107" t="s">
        <v>332</v>
      </c>
      <c r="E345" s="107" t="s">
        <v>252</v>
      </c>
      <c r="F345" s="108">
        <f>'Приложение 3'!F226</f>
        <v>47199349.09</v>
      </c>
      <c r="G345" s="108">
        <f>'Приложение 3'!G226</f>
        <v>0</v>
      </c>
      <c r="H345" s="108">
        <f>'Приложение 3'!H226</f>
        <v>0</v>
      </c>
    </row>
    <row r="346" spans="1:8" ht="16.5">
      <c r="A346" s="48" t="s">
        <v>196</v>
      </c>
      <c r="B346" s="107" t="s">
        <v>330</v>
      </c>
      <c r="C346" s="107" t="s">
        <v>308</v>
      </c>
      <c r="D346" s="107" t="s">
        <v>332</v>
      </c>
      <c r="E346" s="107" t="s">
        <v>257</v>
      </c>
      <c r="F346" s="108">
        <f>'Приложение 3'!F227</f>
        <v>988873</v>
      </c>
      <c r="G346" s="108">
        <f>'Приложение 3'!G227</f>
        <v>0</v>
      </c>
      <c r="H346" s="108">
        <f>'Приложение 3'!H227</f>
        <v>0</v>
      </c>
    </row>
    <row r="347" spans="1:8" ht="33.75">
      <c r="A347" s="48" t="s">
        <v>220</v>
      </c>
      <c r="B347" s="107" t="s">
        <v>330</v>
      </c>
      <c r="C347" s="107" t="s">
        <v>308</v>
      </c>
      <c r="D347" s="107" t="s">
        <v>332</v>
      </c>
      <c r="E347" s="107" t="s">
        <v>266</v>
      </c>
      <c r="F347" s="108">
        <f>'Приложение 3'!F228</f>
        <v>627409</v>
      </c>
      <c r="G347" s="108">
        <f>'Приложение 3'!G228</f>
        <v>0</v>
      </c>
      <c r="H347" s="108">
        <f>'Приложение 3'!H228</f>
        <v>0</v>
      </c>
    </row>
    <row r="348" spans="1:8" ht="16.5">
      <c r="A348" s="70" t="s">
        <v>424</v>
      </c>
      <c r="B348" s="105" t="s">
        <v>330</v>
      </c>
      <c r="C348" s="105" t="s">
        <v>310</v>
      </c>
      <c r="D348" s="105"/>
      <c r="E348" s="105"/>
      <c r="F348" s="106">
        <f aca="true" t="shared" si="26" ref="F348:H349">F349</f>
        <v>8584924.23</v>
      </c>
      <c r="G348" s="106">
        <f t="shared" si="26"/>
        <v>8000000</v>
      </c>
      <c r="H348" s="106">
        <f t="shared" si="26"/>
        <v>8000000</v>
      </c>
    </row>
    <row r="349" spans="1:8" s="37" customFormat="1" ht="33.75">
      <c r="A349" s="70" t="s">
        <v>275</v>
      </c>
      <c r="B349" s="105" t="s">
        <v>330</v>
      </c>
      <c r="C349" s="105" t="s">
        <v>310</v>
      </c>
      <c r="D349" s="105" t="s">
        <v>276</v>
      </c>
      <c r="E349" s="105"/>
      <c r="F349" s="106">
        <f t="shared" si="26"/>
        <v>8584924.23</v>
      </c>
      <c r="G349" s="106">
        <f t="shared" si="26"/>
        <v>8000000</v>
      </c>
      <c r="H349" s="106">
        <f t="shared" si="26"/>
        <v>8000000</v>
      </c>
    </row>
    <row r="350" spans="1:8" ht="16.5">
      <c r="A350" s="48" t="s">
        <v>278</v>
      </c>
      <c r="B350" s="107" t="s">
        <v>330</v>
      </c>
      <c r="C350" s="107" t="s">
        <v>310</v>
      </c>
      <c r="D350" s="107" t="s">
        <v>279</v>
      </c>
      <c r="E350" s="107"/>
      <c r="F350" s="108">
        <f>SUM(F351:F352)</f>
        <v>8584924.23</v>
      </c>
      <c r="G350" s="108">
        <f>SUM(G351:G352)</f>
        <v>8000000</v>
      </c>
      <c r="H350" s="108">
        <f>SUM(H351:H352)</f>
        <v>8000000</v>
      </c>
    </row>
    <row r="351" spans="1:8" ht="67.5">
      <c r="A351" s="48" t="s">
        <v>194</v>
      </c>
      <c r="B351" s="107" t="s">
        <v>330</v>
      </c>
      <c r="C351" s="107" t="s">
        <v>310</v>
      </c>
      <c r="D351" s="107" t="s">
        <v>279</v>
      </c>
      <c r="E351" s="107" t="s">
        <v>229</v>
      </c>
      <c r="F351" s="108">
        <f>'Приложение 2'!D153</f>
        <v>507525.03</v>
      </c>
      <c r="G351" s="108">
        <f>'Приложение 2'!E153</f>
        <v>2120000</v>
      </c>
      <c r="H351" s="108">
        <f>'Приложение 2'!F153</f>
        <v>2120000</v>
      </c>
    </row>
    <row r="352" spans="1:8" ht="33.75">
      <c r="A352" s="48" t="s">
        <v>195</v>
      </c>
      <c r="B352" s="107" t="s">
        <v>330</v>
      </c>
      <c r="C352" s="107" t="s">
        <v>310</v>
      </c>
      <c r="D352" s="107" t="s">
        <v>279</v>
      </c>
      <c r="E352" s="107" t="s">
        <v>252</v>
      </c>
      <c r="F352" s="108">
        <f>'Приложение 2'!D154</f>
        <v>8077399.2</v>
      </c>
      <c r="G352" s="108">
        <f>'Приложение 2'!E154</f>
        <v>5880000</v>
      </c>
      <c r="H352" s="108">
        <f>'Приложение 2'!F154</f>
        <v>5880000</v>
      </c>
    </row>
    <row r="353" spans="1:8" ht="51">
      <c r="A353" s="118" t="s">
        <v>384</v>
      </c>
      <c r="B353" s="161" t="s">
        <v>385</v>
      </c>
      <c r="C353" s="161"/>
      <c r="D353" s="161"/>
      <c r="E353" s="162"/>
      <c r="F353" s="120">
        <f aca="true" t="shared" si="27" ref="F353:H356">F354</f>
        <v>478601816.72</v>
      </c>
      <c r="G353" s="120">
        <f t="shared" si="27"/>
        <v>0</v>
      </c>
      <c r="H353" s="120">
        <f t="shared" si="27"/>
        <v>0</v>
      </c>
    </row>
    <row r="354" spans="1:8" ht="16.5">
      <c r="A354" s="121" t="s">
        <v>386</v>
      </c>
      <c r="B354" s="161" t="s">
        <v>385</v>
      </c>
      <c r="C354" s="161" t="s">
        <v>318</v>
      </c>
      <c r="D354" s="161"/>
      <c r="E354" s="162"/>
      <c r="F354" s="120">
        <f t="shared" si="27"/>
        <v>478601816.72</v>
      </c>
      <c r="G354" s="120">
        <f t="shared" si="27"/>
        <v>0</v>
      </c>
      <c r="H354" s="120">
        <f t="shared" si="27"/>
        <v>0</v>
      </c>
    </row>
    <row r="355" spans="1:8" ht="16.5">
      <c r="A355" s="70" t="s">
        <v>311</v>
      </c>
      <c r="B355" s="161" t="s">
        <v>385</v>
      </c>
      <c r="C355" s="161" t="s">
        <v>318</v>
      </c>
      <c r="D355" s="161" t="s">
        <v>312</v>
      </c>
      <c r="E355" s="162"/>
      <c r="F355" s="120">
        <f t="shared" si="27"/>
        <v>478601816.72</v>
      </c>
      <c r="G355" s="120">
        <f t="shared" si="27"/>
        <v>0</v>
      </c>
      <c r="H355" s="120">
        <f t="shared" si="27"/>
        <v>0</v>
      </c>
    </row>
    <row r="356" spans="1:8" ht="16.5">
      <c r="A356" s="48" t="s">
        <v>387</v>
      </c>
      <c r="B356" s="161" t="s">
        <v>385</v>
      </c>
      <c r="C356" s="161" t="s">
        <v>318</v>
      </c>
      <c r="D356" s="161" t="s">
        <v>388</v>
      </c>
      <c r="E356" s="162"/>
      <c r="F356" s="120">
        <f t="shared" si="27"/>
        <v>478601816.72</v>
      </c>
      <c r="G356" s="120">
        <f t="shared" si="27"/>
        <v>0</v>
      </c>
      <c r="H356" s="120">
        <f t="shared" si="27"/>
        <v>0</v>
      </c>
    </row>
    <row r="357" spans="1:8" ht="16.5">
      <c r="A357" s="163" t="s">
        <v>387</v>
      </c>
      <c r="B357" s="164" t="s">
        <v>385</v>
      </c>
      <c r="C357" s="164" t="s">
        <v>318</v>
      </c>
      <c r="D357" s="164" t="s">
        <v>388</v>
      </c>
      <c r="E357" s="165" t="s">
        <v>391</v>
      </c>
      <c r="F357" s="17">
        <f>'Приложение 3'!F234+'Приложение 3'!F236</f>
        <v>478601816.72</v>
      </c>
      <c r="G357" s="17">
        <f>'Приложение 3'!G234+'Приложение 3'!G236</f>
        <v>0</v>
      </c>
      <c r="H357" s="17">
        <f>'Приложение 3'!H234+'Приложение 3'!H236</f>
        <v>0</v>
      </c>
    </row>
  </sheetData>
  <sheetProtection/>
  <autoFilter ref="A14:H357"/>
  <mergeCells count="1">
    <mergeCell ref="A11:H11"/>
  </mergeCells>
  <printOptions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portrait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0.8515625" style="2" customWidth="1"/>
    <col min="2" max="2" width="9.8515625" style="2" customWidth="1"/>
    <col min="3" max="3" width="6.140625" style="126" customWidth="1"/>
    <col min="4" max="4" width="6.00390625" style="126" customWidth="1"/>
    <col min="5" max="5" width="17.421875" style="2" customWidth="1"/>
    <col min="6" max="6" width="8.00390625" style="2" customWidth="1"/>
    <col min="7" max="7" width="19.28125" style="127" customWidth="1"/>
    <col min="8" max="8" width="21.00390625" style="131" customWidth="1"/>
    <col min="9" max="9" width="21.00390625" style="86" customWidth="1"/>
    <col min="10" max="10" width="9.140625" style="1" customWidth="1"/>
    <col min="11" max="11" width="19.140625" style="1" customWidth="1"/>
    <col min="12" max="12" width="18.7109375" style="1" customWidth="1"/>
    <col min="13" max="14" width="20.421875" style="1" customWidth="1"/>
    <col min="15" max="15" width="9.140625" style="1" customWidth="1"/>
    <col min="16" max="16384" width="9.140625" style="1" customWidth="1"/>
  </cols>
  <sheetData>
    <row r="1" spans="8:9" ht="15">
      <c r="H1" s="127"/>
      <c r="I1" s="127"/>
    </row>
    <row r="2" spans="5:9" ht="18">
      <c r="E2" s="128"/>
      <c r="H2" s="129" t="s">
        <v>639</v>
      </c>
      <c r="I2" s="127"/>
    </row>
    <row r="3" spans="5:9" ht="18">
      <c r="E3" s="128"/>
      <c r="H3" s="129" t="s">
        <v>303</v>
      </c>
      <c r="I3" s="127"/>
    </row>
    <row r="4" spans="5:9" ht="18">
      <c r="E4" s="128"/>
      <c r="H4" s="129" t="s">
        <v>18</v>
      </c>
      <c r="I4" s="127"/>
    </row>
    <row r="5" spans="5:9" ht="18">
      <c r="E5" s="128"/>
      <c r="H5" s="129" t="s">
        <v>19</v>
      </c>
      <c r="I5" s="127"/>
    </row>
    <row r="6" spans="5:9" ht="18">
      <c r="E6" s="128"/>
      <c r="H6" s="129" t="s">
        <v>20</v>
      </c>
      <c r="I6" s="127"/>
    </row>
    <row r="7" spans="5:9" ht="18">
      <c r="E7" s="128"/>
      <c r="H7" s="129" t="s">
        <v>781</v>
      </c>
      <c r="I7" s="127"/>
    </row>
    <row r="8" spans="5:9" ht="18">
      <c r="E8" s="128"/>
      <c r="H8" s="129" t="s">
        <v>782</v>
      </c>
      <c r="I8" s="127"/>
    </row>
    <row r="9" spans="8:9" ht="15">
      <c r="H9" s="127"/>
      <c r="I9" s="127"/>
    </row>
    <row r="11" spans="2:14" ht="18" customHeight="1">
      <c r="B11" s="166"/>
      <c r="N11" s="27"/>
    </row>
    <row r="12" spans="1:9" ht="55.5" customHeight="1">
      <c r="A12" s="368" t="s">
        <v>429</v>
      </c>
      <c r="B12" s="368"/>
      <c r="C12" s="368"/>
      <c r="D12" s="368"/>
      <c r="E12" s="368"/>
      <c r="F12" s="368"/>
      <c r="G12" s="368"/>
      <c r="H12" s="368"/>
      <c r="I12" s="368"/>
    </row>
    <row r="13" ht="15.75">
      <c r="B13" s="166"/>
    </row>
    <row r="14" spans="1:9" s="85" customFormat="1" ht="15.75">
      <c r="A14" s="2"/>
      <c r="B14" s="166"/>
      <c r="C14" s="126"/>
      <c r="D14" s="126"/>
      <c r="E14" s="2"/>
      <c r="F14" s="2"/>
      <c r="G14" s="130"/>
      <c r="H14" s="131"/>
      <c r="I14" s="130" t="s">
        <v>186</v>
      </c>
    </row>
    <row r="15" spans="1:14" s="83" customFormat="1" ht="16.5">
      <c r="A15" s="31" t="s">
        <v>22</v>
      </c>
      <c r="B15" s="98" t="s">
        <v>428</v>
      </c>
      <c r="C15" s="132" t="s">
        <v>304</v>
      </c>
      <c r="D15" s="132" t="s">
        <v>305</v>
      </c>
      <c r="E15" s="31" t="s">
        <v>187</v>
      </c>
      <c r="F15" s="31" t="s">
        <v>188</v>
      </c>
      <c r="G15" s="99" t="s">
        <v>23</v>
      </c>
      <c r="H15" s="99" t="s">
        <v>24</v>
      </c>
      <c r="I15" s="99" t="s">
        <v>174</v>
      </c>
      <c r="K15" s="84"/>
      <c r="L15" s="84"/>
      <c r="M15" s="84"/>
      <c r="N15" s="84"/>
    </row>
    <row r="16" spans="1:14" s="83" customFormat="1" ht="33.75">
      <c r="A16" s="118" t="s">
        <v>425</v>
      </c>
      <c r="B16" s="101">
        <v>701</v>
      </c>
      <c r="C16" s="132"/>
      <c r="D16" s="132"/>
      <c r="E16" s="31"/>
      <c r="F16" s="31"/>
      <c r="G16" s="167">
        <f>G17+G86+G147+G156+G235+G267+G275+G333+G354+G95+G137+G81</f>
        <v>3465357117.5800004</v>
      </c>
      <c r="H16" s="167">
        <f>H17+H86+H147+H156+H235+H267+H275+H333+H354+H95+H137+H81</f>
        <v>2215550585.6499996</v>
      </c>
      <c r="I16" s="167">
        <f>I17+I86+I147+I156+I235+I267+I275+I333+I354+I95+I137+I81</f>
        <v>2219734655.37</v>
      </c>
      <c r="K16" s="84"/>
      <c r="L16" s="84"/>
      <c r="M16" s="84"/>
      <c r="N16" s="84"/>
    </row>
    <row r="17" spans="1:14" ht="16.5">
      <c r="A17" s="70" t="s">
        <v>307</v>
      </c>
      <c r="B17" s="101">
        <v>701</v>
      </c>
      <c r="C17" s="105" t="s">
        <v>308</v>
      </c>
      <c r="D17" s="105"/>
      <c r="E17" s="105"/>
      <c r="F17" s="105"/>
      <c r="G17" s="106">
        <f>G18+G22+G28+G35+G46+G50+G42</f>
        <v>779846120.53</v>
      </c>
      <c r="H17" s="106">
        <f>H18+H22+H28+H35+H46+H50+H42</f>
        <v>616264674.5699999</v>
      </c>
      <c r="I17" s="106">
        <f>I18+I22+I28+I35+I46+I50+I42</f>
        <v>616264674.5699999</v>
      </c>
      <c r="N17" s="27"/>
    </row>
    <row r="18" spans="1:9" ht="51">
      <c r="A18" s="70" t="s">
        <v>309</v>
      </c>
      <c r="B18" s="101">
        <v>701</v>
      </c>
      <c r="C18" s="105" t="s">
        <v>308</v>
      </c>
      <c r="D18" s="105" t="s">
        <v>310</v>
      </c>
      <c r="E18" s="105"/>
      <c r="F18" s="105"/>
      <c r="G18" s="106">
        <f aca="true" t="shared" si="0" ref="G18:I20">G19</f>
        <v>8175148.1</v>
      </c>
      <c r="H18" s="106">
        <f t="shared" si="0"/>
        <v>7119360</v>
      </c>
      <c r="I18" s="106">
        <f t="shared" si="0"/>
        <v>7119360</v>
      </c>
    </row>
    <row r="19" spans="1:9" s="136" customFormat="1" ht="16.5">
      <c r="A19" s="70" t="s">
        <v>311</v>
      </c>
      <c r="B19" s="101">
        <v>701</v>
      </c>
      <c r="C19" s="105" t="s">
        <v>308</v>
      </c>
      <c r="D19" s="105" t="s">
        <v>310</v>
      </c>
      <c r="E19" s="105" t="s">
        <v>312</v>
      </c>
      <c r="F19" s="105"/>
      <c r="G19" s="106">
        <f t="shared" si="0"/>
        <v>8175148.1</v>
      </c>
      <c r="H19" s="106">
        <f t="shared" si="0"/>
        <v>7119360</v>
      </c>
      <c r="I19" s="106">
        <f t="shared" si="0"/>
        <v>7119360</v>
      </c>
    </row>
    <row r="20" spans="1:9" ht="33.75">
      <c r="A20" s="48" t="s">
        <v>313</v>
      </c>
      <c r="B20" s="101">
        <v>701</v>
      </c>
      <c r="C20" s="107" t="s">
        <v>308</v>
      </c>
      <c r="D20" s="107" t="s">
        <v>310</v>
      </c>
      <c r="E20" s="107" t="s">
        <v>314</v>
      </c>
      <c r="F20" s="107"/>
      <c r="G20" s="108">
        <f t="shared" si="0"/>
        <v>8175148.1</v>
      </c>
      <c r="H20" s="108">
        <f t="shared" si="0"/>
        <v>7119360</v>
      </c>
      <c r="I20" s="108">
        <f t="shared" si="0"/>
        <v>7119360</v>
      </c>
    </row>
    <row r="21" spans="1:9" ht="67.5">
      <c r="A21" s="48" t="s">
        <v>194</v>
      </c>
      <c r="B21" s="101">
        <v>701</v>
      </c>
      <c r="C21" s="107" t="s">
        <v>308</v>
      </c>
      <c r="D21" s="107" t="s">
        <v>310</v>
      </c>
      <c r="E21" s="107" t="s">
        <v>314</v>
      </c>
      <c r="F21" s="107" t="s">
        <v>229</v>
      </c>
      <c r="G21" s="137">
        <f>'Приложение 4'!F20</f>
        <v>8175148.1</v>
      </c>
      <c r="H21" s="137">
        <f>'Приложение 4'!G20</f>
        <v>7119360</v>
      </c>
      <c r="I21" s="137">
        <f>'Приложение 4'!H20</f>
        <v>7119360</v>
      </c>
    </row>
    <row r="22" spans="1:9" s="136" customFormat="1" ht="51">
      <c r="A22" s="70" t="s">
        <v>317</v>
      </c>
      <c r="B22" s="101">
        <v>701</v>
      </c>
      <c r="C22" s="105" t="s">
        <v>308</v>
      </c>
      <c r="D22" s="105" t="s">
        <v>318</v>
      </c>
      <c r="E22" s="105"/>
      <c r="F22" s="105"/>
      <c r="G22" s="106">
        <f aca="true" t="shared" si="1" ref="G22:I23">G23</f>
        <v>3747101.33</v>
      </c>
      <c r="H22" s="106">
        <f t="shared" si="1"/>
        <v>3952396.66</v>
      </c>
      <c r="I22" s="106">
        <f t="shared" si="1"/>
        <v>3952396.66</v>
      </c>
    </row>
    <row r="23" spans="1:9" ht="16.5">
      <c r="A23" s="70" t="s">
        <v>311</v>
      </c>
      <c r="B23" s="101">
        <v>701</v>
      </c>
      <c r="C23" s="105" t="s">
        <v>308</v>
      </c>
      <c r="D23" s="105" t="s">
        <v>318</v>
      </c>
      <c r="E23" s="105" t="s">
        <v>312</v>
      </c>
      <c r="F23" s="105"/>
      <c r="G23" s="106">
        <f t="shared" si="1"/>
        <v>3747101.33</v>
      </c>
      <c r="H23" s="106">
        <f t="shared" si="1"/>
        <v>3952396.66</v>
      </c>
      <c r="I23" s="106">
        <f t="shared" si="1"/>
        <v>3952396.66</v>
      </c>
    </row>
    <row r="24" spans="1:9" ht="33.75">
      <c r="A24" s="48" t="s">
        <v>313</v>
      </c>
      <c r="B24" s="101">
        <v>701</v>
      </c>
      <c r="C24" s="107" t="s">
        <v>308</v>
      </c>
      <c r="D24" s="107" t="s">
        <v>318</v>
      </c>
      <c r="E24" s="107" t="s">
        <v>314</v>
      </c>
      <c r="F24" s="107"/>
      <c r="G24" s="108">
        <f>G25+G26+G27</f>
        <v>3747101.33</v>
      </c>
      <c r="H24" s="108">
        <f>H25+H26+H27</f>
        <v>3952396.66</v>
      </c>
      <c r="I24" s="108">
        <f>I25+I26+I27</f>
        <v>3952396.66</v>
      </c>
    </row>
    <row r="25" spans="1:9" ht="67.5">
      <c r="A25" s="48" t="s">
        <v>194</v>
      </c>
      <c r="B25" s="101">
        <v>701</v>
      </c>
      <c r="C25" s="107" t="s">
        <v>308</v>
      </c>
      <c r="D25" s="107" t="s">
        <v>318</v>
      </c>
      <c r="E25" s="107" t="s">
        <v>314</v>
      </c>
      <c r="F25" s="107" t="s">
        <v>229</v>
      </c>
      <c r="G25" s="108">
        <f>'Приложение 4'!F24</f>
        <v>537510.66</v>
      </c>
      <c r="H25" s="108">
        <f>'Приложение 4'!G24</f>
        <v>574034.66</v>
      </c>
      <c r="I25" s="108">
        <f>'Приложение 4'!H24</f>
        <v>574034.66</v>
      </c>
    </row>
    <row r="26" spans="1:9" ht="33.75">
      <c r="A26" s="48" t="s">
        <v>195</v>
      </c>
      <c r="B26" s="101">
        <v>701</v>
      </c>
      <c r="C26" s="107" t="s">
        <v>308</v>
      </c>
      <c r="D26" s="107" t="s">
        <v>318</v>
      </c>
      <c r="E26" s="107" t="s">
        <v>314</v>
      </c>
      <c r="F26" s="107" t="s">
        <v>252</v>
      </c>
      <c r="G26" s="108">
        <f>'Приложение 4'!F25</f>
        <v>3189590.67</v>
      </c>
      <c r="H26" s="108">
        <f>'Приложение 4'!G25</f>
        <v>3358362</v>
      </c>
      <c r="I26" s="108">
        <f>'Приложение 4'!H25</f>
        <v>3358362</v>
      </c>
    </row>
    <row r="27" spans="1:9" ht="16.5">
      <c r="A27" s="48" t="s">
        <v>197</v>
      </c>
      <c r="B27" s="101">
        <v>701</v>
      </c>
      <c r="C27" s="107" t="s">
        <v>308</v>
      </c>
      <c r="D27" s="107" t="s">
        <v>318</v>
      </c>
      <c r="E27" s="107" t="s">
        <v>314</v>
      </c>
      <c r="F27" s="107" t="s">
        <v>231</v>
      </c>
      <c r="G27" s="108">
        <f>'Приложение 4'!F26</f>
        <v>20000</v>
      </c>
      <c r="H27" s="108">
        <f>'Приложение 4'!G26</f>
        <v>20000</v>
      </c>
      <c r="I27" s="108">
        <f>'Приложение 4'!H26</f>
        <v>20000</v>
      </c>
    </row>
    <row r="28" spans="1:9" ht="67.5">
      <c r="A28" s="110" t="s">
        <v>321</v>
      </c>
      <c r="B28" s="101">
        <v>701</v>
      </c>
      <c r="C28" s="105" t="s">
        <v>308</v>
      </c>
      <c r="D28" s="105" t="s">
        <v>322</v>
      </c>
      <c r="E28" s="105"/>
      <c r="F28" s="105"/>
      <c r="G28" s="106">
        <f aca="true" t="shared" si="2" ref="G28:I29">G29</f>
        <v>72640908.35</v>
      </c>
      <c r="H28" s="106">
        <f t="shared" si="2"/>
        <v>63299903.52</v>
      </c>
      <c r="I28" s="106">
        <f t="shared" si="2"/>
        <v>63299903.52</v>
      </c>
    </row>
    <row r="29" spans="1:9" ht="16.5">
      <c r="A29" s="70" t="s">
        <v>311</v>
      </c>
      <c r="B29" s="101">
        <v>701</v>
      </c>
      <c r="C29" s="105" t="s">
        <v>308</v>
      </c>
      <c r="D29" s="105" t="s">
        <v>322</v>
      </c>
      <c r="E29" s="105" t="s">
        <v>312</v>
      </c>
      <c r="F29" s="105"/>
      <c r="G29" s="106">
        <f t="shared" si="2"/>
        <v>72640908.35</v>
      </c>
      <c r="H29" s="106">
        <f t="shared" si="2"/>
        <v>63299903.52</v>
      </c>
      <c r="I29" s="106">
        <f t="shared" si="2"/>
        <v>63299903.52</v>
      </c>
    </row>
    <row r="30" spans="1:9" ht="33.75">
      <c r="A30" s="48" t="s">
        <v>313</v>
      </c>
      <c r="B30" s="101">
        <v>701</v>
      </c>
      <c r="C30" s="107" t="s">
        <v>308</v>
      </c>
      <c r="D30" s="107" t="s">
        <v>322</v>
      </c>
      <c r="E30" s="107" t="s">
        <v>314</v>
      </c>
      <c r="F30" s="107"/>
      <c r="G30" s="108">
        <f>SUM(G31:G34)</f>
        <v>72640908.35</v>
      </c>
      <c r="H30" s="108">
        <f>SUM(H31:H34)</f>
        <v>63299903.52</v>
      </c>
      <c r="I30" s="108">
        <f>SUM(I31:I34)</f>
        <v>63299903.52</v>
      </c>
    </row>
    <row r="31" spans="1:9" ht="67.5">
      <c r="A31" s="48" t="s">
        <v>194</v>
      </c>
      <c r="B31" s="101">
        <v>701</v>
      </c>
      <c r="C31" s="107" t="s">
        <v>308</v>
      </c>
      <c r="D31" s="107" t="s">
        <v>322</v>
      </c>
      <c r="E31" s="107" t="s">
        <v>314</v>
      </c>
      <c r="F31" s="107" t="s">
        <v>229</v>
      </c>
      <c r="G31" s="108">
        <f>'Приложение 4'!F30</f>
        <v>67679577.14</v>
      </c>
      <c r="H31" s="108">
        <f>'Приложение 4'!G30</f>
        <v>56947557.52</v>
      </c>
      <c r="I31" s="108">
        <f>'Приложение 4'!H30</f>
        <v>56947557.52</v>
      </c>
    </row>
    <row r="32" spans="1:9" s="136" customFormat="1" ht="33.75">
      <c r="A32" s="48" t="s">
        <v>195</v>
      </c>
      <c r="B32" s="101">
        <v>701</v>
      </c>
      <c r="C32" s="107" t="s">
        <v>308</v>
      </c>
      <c r="D32" s="107" t="s">
        <v>322</v>
      </c>
      <c r="E32" s="107" t="s">
        <v>314</v>
      </c>
      <c r="F32" s="107" t="s">
        <v>252</v>
      </c>
      <c r="G32" s="108">
        <f>'Приложение 4'!F31</f>
        <v>4700464.64</v>
      </c>
      <c r="H32" s="108">
        <f>'Приложение 4'!G31</f>
        <v>6198730</v>
      </c>
      <c r="I32" s="108">
        <f>'Приложение 4'!H31</f>
        <v>6198730</v>
      </c>
    </row>
    <row r="33" spans="1:9" s="136" customFormat="1" ht="16.5">
      <c r="A33" s="48" t="s">
        <v>196</v>
      </c>
      <c r="B33" s="101">
        <v>701</v>
      </c>
      <c r="C33" s="107" t="s">
        <v>308</v>
      </c>
      <c r="D33" s="107" t="s">
        <v>322</v>
      </c>
      <c r="E33" s="107" t="s">
        <v>314</v>
      </c>
      <c r="F33" s="107" t="s">
        <v>257</v>
      </c>
      <c r="G33" s="108">
        <f>'Приложение 4'!F32</f>
        <v>107250.57</v>
      </c>
      <c r="H33" s="108">
        <f>'Приложение 4'!G32</f>
        <v>0</v>
      </c>
      <c r="I33" s="108">
        <f>'Приложение 4'!H32</f>
        <v>0</v>
      </c>
    </row>
    <row r="34" spans="1:9" s="136" customFormat="1" ht="16.5">
      <c r="A34" s="48" t="s">
        <v>197</v>
      </c>
      <c r="B34" s="101">
        <v>701</v>
      </c>
      <c r="C34" s="107" t="s">
        <v>308</v>
      </c>
      <c r="D34" s="107" t="s">
        <v>322</v>
      </c>
      <c r="E34" s="107" t="s">
        <v>314</v>
      </c>
      <c r="F34" s="107" t="s">
        <v>231</v>
      </c>
      <c r="G34" s="108">
        <f>'Приложение 4'!F33</f>
        <v>153616</v>
      </c>
      <c r="H34" s="108">
        <f>'Приложение 4'!G33</f>
        <v>153616</v>
      </c>
      <c r="I34" s="108">
        <f>'Приложение 4'!H33</f>
        <v>153616</v>
      </c>
    </row>
    <row r="35" spans="1:9" ht="51">
      <c r="A35" s="70" t="s">
        <v>325</v>
      </c>
      <c r="B35" s="101">
        <v>701</v>
      </c>
      <c r="C35" s="105" t="s">
        <v>308</v>
      </c>
      <c r="D35" s="105" t="s">
        <v>326</v>
      </c>
      <c r="E35" s="105"/>
      <c r="F35" s="105"/>
      <c r="G35" s="106">
        <f aca="true" t="shared" si="3" ref="G35:I36">G36</f>
        <v>46506532.81</v>
      </c>
      <c r="H35" s="106">
        <f t="shared" si="3"/>
        <v>39410172.07</v>
      </c>
      <c r="I35" s="106">
        <f t="shared" si="3"/>
        <v>39410172.07</v>
      </c>
    </row>
    <row r="36" spans="1:9" ht="16.5">
      <c r="A36" s="70" t="s">
        <v>311</v>
      </c>
      <c r="B36" s="101">
        <v>701</v>
      </c>
      <c r="C36" s="105" t="s">
        <v>308</v>
      </c>
      <c r="D36" s="105" t="s">
        <v>326</v>
      </c>
      <c r="E36" s="105" t="s">
        <v>312</v>
      </c>
      <c r="F36" s="105"/>
      <c r="G36" s="106">
        <f t="shared" si="3"/>
        <v>46506532.81</v>
      </c>
      <c r="H36" s="106">
        <f t="shared" si="3"/>
        <v>39410172.07</v>
      </c>
      <c r="I36" s="106">
        <f t="shared" si="3"/>
        <v>39410172.07</v>
      </c>
    </row>
    <row r="37" spans="1:9" ht="33.75">
      <c r="A37" s="48" t="s">
        <v>313</v>
      </c>
      <c r="B37" s="101">
        <v>701</v>
      </c>
      <c r="C37" s="107" t="s">
        <v>308</v>
      </c>
      <c r="D37" s="107" t="s">
        <v>326</v>
      </c>
      <c r="E37" s="107" t="s">
        <v>314</v>
      </c>
      <c r="F37" s="107"/>
      <c r="G37" s="108">
        <f>SUM(G38:G41)</f>
        <v>46506532.81</v>
      </c>
      <c r="H37" s="108">
        <f>SUM(H38:H40)</f>
        <v>39410172.07</v>
      </c>
      <c r="I37" s="108">
        <f>SUM(I38:I40)</f>
        <v>39410172.07</v>
      </c>
    </row>
    <row r="38" spans="1:9" ht="67.5">
      <c r="A38" s="48" t="s">
        <v>194</v>
      </c>
      <c r="B38" s="101">
        <v>701</v>
      </c>
      <c r="C38" s="107" t="s">
        <v>308</v>
      </c>
      <c r="D38" s="107" t="s">
        <v>326</v>
      </c>
      <c r="E38" s="107" t="s">
        <v>314</v>
      </c>
      <c r="F38" s="107" t="s">
        <v>229</v>
      </c>
      <c r="G38" s="108">
        <f>'Приложение 4'!F37</f>
        <v>43637155.72</v>
      </c>
      <c r="H38" s="108">
        <f>'Приложение 4'!G37</f>
        <v>36089672.07</v>
      </c>
      <c r="I38" s="108">
        <f>'Приложение 4'!H37</f>
        <v>36089672.07</v>
      </c>
    </row>
    <row r="39" spans="1:9" ht="33.75">
      <c r="A39" s="48" t="s">
        <v>195</v>
      </c>
      <c r="B39" s="101">
        <v>701</v>
      </c>
      <c r="C39" s="107" t="s">
        <v>308</v>
      </c>
      <c r="D39" s="107" t="s">
        <v>326</v>
      </c>
      <c r="E39" s="107" t="s">
        <v>314</v>
      </c>
      <c r="F39" s="107" t="s">
        <v>252</v>
      </c>
      <c r="G39" s="108">
        <f>'Приложение 4'!F38</f>
        <v>2869359</v>
      </c>
      <c r="H39" s="108">
        <f>'Приложение 4'!G38</f>
        <v>3320500</v>
      </c>
      <c r="I39" s="108">
        <f>'Приложение 4'!H38</f>
        <v>3320500</v>
      </c>
    </row>
    <row r="40" spans="1:9" ht="16.5" hidden="1">
      <c r="A40" s="48" t="s">
        <v>196</v>
      </c>
      <c r="B40" s="101">
        <v>701</v>
      </c>
      <c r="C40" s="107" t="s">
        <v>308</v>
      </c>
      <c r="D40" s="107" t="s">
        <v>326</v>
      </c>
      <c r="E40" s="107" t="s">
        <v>314</v>
      </c>
      <c r="F40" s="107" t="s">
        <v>257</v>
      </c>
      <c r="G40" s="108">
        <f>'Приложение 4'!F39</f>
        <v>0</v>
      </c>
      <c r="H40" s="108">
        <f>'Приложение 4'!G39</f>
        <v>0</v>
      </c>
      <c r="I40" s="108">
        <f>'Приложение 4'!H39</f>
        <v>0</v>
      </c>
    </row>
    <row r="41" spans="1:9" ht="16.5">
      <c r="A41" s="48" t="s">
        <v>197</v>
      </c>
      <c r="B41" s="101">
        <v>701</v>
      </c>
      <c r="C41" s="107" t="s">
        <v>308</v>
      </c>
      <c r="D41" s="107" t="s">
        <v>326</v>
      </c>
      <c r="E41" s="107" t="s">
        <v>314</v>
      </c>
      <c r="F41" s="107" t="s">
        <v>231</v>
      </c>
      <c r="G41" s="108">
        <f>'Приложение 4'!F40</f>
        <v>18.09</v>
      </c>
      <c r="H41" s="108">
        <f>'Приложение 4'!G40</f>
        <v>0</v>
      </c>
      <c r="I41" s="108">
        <f>'Приложение 4'!H40</f>
        <v>0</v>
      </c>
    </row>
    <row r="42" spans="1:9" s="37" customFormat="1" ht="16.5">
      <c r="A42" s="70" t="s">
        <v>400</v>
      </c>
      <c r="B42" s="101">
        <v>701</v>
      </c>
      <c r="C42" s="105" t="s">
        <v>308</v>
      </c>
      <c r="D42" s="105" t="s">
        <v>362</v>
      </c>
      <c r="E42" s="105"/>
      <c r="F42" s="105"/>
      <c r="G42" s="106">
        <f>G43</f>
        <v>6970452</v>
      </c>
      <c r="H42" s="106">
        <f aca="true" t="shared" si="4" ref="H42:I44">H43</f>
        <v>0</v>
      </c>
      <c r="I42" s="106">
        <f t="shared" si="4"/>
        <v>0</v>
      </c>
    </row>
    <row r="43" spans="1:9" s="37" customFormat="1" ht="16.5">
      <c r="A43" s="70" t="s">
        <v>311</v>
      </c>
      <c r="B43" s="101">
        <v>701</v>
      </c>
      <c r="C43" s="105" t="s">
        <v>308</v>
      </c>
      <c r="D43" s="105" t="s">
        <v>362</v>
      </c>
      <c r="E43" s="105" t="s">
        <v>312</v>
      </c>
      <c r="F43" s="105"/>
      <c r="G43" s="106">
        <f>G44</f>
        <v>6970452</v>
      </c>
      <c r="H43" s="106">
        <f t="shared" si="4"/>
        <v>0</v>
      </c>
      <c r="I43" s="106">
        <f t="shared" si="4"/>
        <v>0</v>
      </c>
    </row>
    <row r="44" spans="1:9" ht="16.5">
      <c r="A44" s="48" t="s">
        <v>399</v>
      </c>
      <c r="B44" s="101">
        <v>701</v>
      </c>
      <c r="C44" s="107" t="s">
        <v>308</v>
      </c>
      <c r="D44" s="107" t="s">
        <v>362</v>
      </c>
      <c r="E44" s="107" t="s">
        <v>398</v>
      </c>
      <c r="F44" s="107"/>
      <c r="G44" s="108">
        <f>G45</f>
        <v>6970452</v>
      </c>
      <c r="H44" s="108">
        <f>H45</f>
        <v>0</v>
      </c>
      <c r="I44" s="108">
        <f t="shared" si="4"/>
        <v>0</v>
      </c>
    </row>
    <row r="45" spans="1:9" ht="16.5">
      <c r="A45" s="48" t="s">
        <v>197</v>
      </c>
      <c r="B45" s="101">
        <v>701</v>
      </c>
      <c r="C45" s="107" t="s">
        <v>308</v>
      </c>
      <c r="D45" s="107" t="s">
        <v>362</v>
      </c>
      <c r="E45" s="107" t="s">
        <v>398</v>
      </c>
      <c r="F45" s="107" t="s">
        <v>231</v>
      </c>
      <c r="G45" s="108">
        <f>'Приложение 4'!F44</f>
        <v>6970452</v>
      </c>
      <c r="H45" s="108">
        <f>'Приложение 4'!G44</f>
        <v>0</v>
      </c>
      <c r="I45" s="108">
        <f>'Приложение 4'!H44</f>
        <v>0</v>
      </c>
    </row>
    <row r="46" spans="1:9" ht="16.5">
      <c r="A46" s="70" t="s">
        <v>329</v>
      </c>
      <c r="B46" s="101">
        <v>701</v>
      </c>
      <c r="C46" s="105" t="s">
        <v>308</v>
      </c>
      <c r="D46" s="105" t="s">
        <v>330</v>
      </c>
      <c r="E46" s="105"/>
      <c r="F46" s="105"/>
      <c r="G46" s="106">
        <f aca="true" t="shared" si="5" ref="G46:I48">G47</f>
        <v>5802529.829999991</v>
      </c>
      <c r="H46" s="106">
        <f t="shared" si="5"/>
        <v>30000000</v>
      </c>
      <c r="I46" s="106">
        <f t="shared" si="5"/>
        <v>30000000</v>
      </c>
    </row>
    <row r="47" spans="1:9" ht="16.5">
      <c r="A47" s="70" t="s">
        <v>311</v>
      </c>
      <c r="B47" s="101">
        <v>701</v>
      </c>
      <c r="C47" s="105" t="s">
        <v>308</v>
      </c>
      <c r="D47" s="105" t="s">
        <v>330</v>
      </c>
      <c r="E47" s="105" t="s">
        <v>312</v>
      </c>
      <c r="F47" s="105"/>
      <c r="G47" s="106">
        <f t="shared" si="5"/>
        <v>5802529.829999991</v>
      </c>
      <c r="H47" s="106">
        <f t="shared" si="5"/>
        <v>30000000</v>
      </c>
      <c r="I47" s="106">
        <f t="shared" si="5"/>
        <v>30000000</v>
      </c>
    </row>
    <row r="48" spans="1:9" ht="16.5">
      <c r="A48" s="48" t="s">
        <v>401</v>
      </c>
      <c r="B48" s="101">
        <v>701</v>
      </c>
      <c r="C48" s="107" t="s">
        <v>308</v>
      </c>
      <c r="D48" s="107" t="s">
        <v>330</v>
      </c>
      <c r="E48" s="107" t="s">
        <v>332</v>
      </c>
      <c r="F48" s="107"/>
      <c r="G48" s="108">
        <f t="shared" si="5"/>
        <v>5802529.829999991</v>
      </c>
      <c r="H48" s="108">
        <f t="shared" si="5"/>
        <v>30000000</v>
      </c>
      <c r="I48" s="108">
        <f t="shared" si="5"/>
        <v>30000000</v>
      </c>
    </row>
    <row r="49" spans="1:9" ht="16.5">
      <c r="A49" s="48" t="s">
        <v>197</v>
      </c>
      <c r="B49" s="101">
        <v>701</v>
      </c>
      <c r="C49" s="107" t="s">
        <v>308</v>
      </c>
      <c r="D49" s="107" t="s">
        <v>330</v>
      </c>
      <c r="E49" s="107" t="s">
        <v>332</v>
      </c>
      <c r="F49" s="107" t="s">
        <v>231</v>
      </c>
      <c r="G49" s="108">
        <f>'Приложение 4'!F48</f>
        <v>5802529.829999991</v>
      </c>
      <c r="H49" s="108">
        <f>'Приложение 4'!G48</f>
        <v>30000000</v>
      </c>
      <c r="I49" s="108">
        <f>'Приложение 4'!H48</f>
        <v>30000000</v>
      </c>
    </row>
    <row r="50" spans="1:9" s="37" customFormat="1" ht="16.5">
      <c r="A50" s="70" t="s">
        <v>335</v>
      </c>
      <c r="B50" s="101">
        <v>701</v>
      </c>
      <c r="C50" s="105" t="s">
        <v>308</v>
      </c>
      <c r="D50" s="105" t="s">
        <v>336</v>
      </c>
      <c r="E50" s="105"/>
      <c r="F50" s="105"/>
      <c r="G50" s="106">
        <f>G51+G55+G69</f>
        <v>636003448.11</v>
      </c>
      <c r="H50" s="106">
        <f>H51+H55+H69</f>
        <v>472482842.32</v>
      </c>
      <c r="I50" s="106">
        <f>I51+I55+I69</f>
        <v>472482842.32</v>
      </c>
    </row>
    <row r="51" spans="1:9" ht="33.75" customHeight="1">
      <c r="A51" s="70" t="s">
        <v>260</v>
      </c>
      <c r="B51" s="101">
        <v>701</v>
      </c>
      <c r="C51" s="105" t="s">
        <v>308</v>
      </c>
      <c r="D51" s="105" t="s">
        <v>336</v>
      </c>
      <c r="E51" s="105" t="s">
        <v>261</v>
      </c>
      <c r="F51" s="105"/>
      <c r="G51" s="106">
        <f aca="true" t="shared" si="6" ref="G51:I52">G52</f>
        <v>10018138.44</v>
      </c>
      <c r="H51" s="106">
        <f t="shared" si="6"/>
        <v>9735155</v>
      </c>
      <c r="I51" s="106">
        <f t="shared" si="6"/>
        <v>9735155</v>
      </c>
    </row>
    <row r="52" spans="1:9" ht="16.5">
      <c r="A52" s="48" t="s">
        <v>262</v>
      </c>
      <c r="B52" s="101">
        <v>701</v>
      </c>
      <c r="C52" s="107" t="s">
        <v>308</v>
      </c>
      <c r="D52" s="107" t="s">
        <v>336</v>
      </c>
      <c r="E52" s="107" t="s">
        <v>263</v>
      </c>
      <c r="F52" s="107"/>
      <c r="G52" s="108">
        <f>G53+G54</f>
        <v>10018138.44</v>
      </c>
      <c r="H52" s="108">
        <f t="shared" si="6"/>
        <v>9735155</v>
      </c>
      <c r="I52" s="108">
        <f t="shared" si="6"/>
        <v>9735155</v>
      </c>
    </row>
    <row r="53" spans="1:9" ht="33.75">
      <c r="A53" s="48" t="s">
        <v>195</v>
      </c>
      <c r="B53" s="101">
        <v>701</v>
      </c>
      <c r="C53" s="107" t="s">
        <v>308</v>
      </c>
      <c r="D53" s="107" t="s">
        <v>336</v>
      </c>
      <c r="E53" s="107" t="s">
        <v>263</v>
      </c>
      <c r="F53" s="107" t="s">
        <v>252</v>
      </c>
      <c r="G53" s="108">
        <f>'Приложение 4'!F52</f>
        <v>6218138.4399999995</v>
      </c>
      <c r="H53" s="108">
        <f>'Приложение 4'!G52</f>
        <v>9735155</v>
      </c>
      <c r="I53" s="108">
        <f>'Приложение 4'!H52</f>
        <v>9735155</v>
      </c>
    </row>
    <row r="54" spans="1:9" ht="33.75">
      <c r="A54" s="48" t="s">
        <v>272</v>
      </c>
      <c r="B54" s="101">
        <v>701</v>
      </c>
      <c r="C54" s="107" t="s">
        <v>308</v>
      </c>
      <c r="D54" s="107" t="s">
        <v>336</v>
      </c>
      <c r="E54" s="107" t="s">
        <v>263</v>
      </c>
      <c r="F54" s="107" t="s">
        <v>266</v>
      </c>
      <c r="G54" s="108">
        <f>'Приложение 4'!F53</f>
        <v>3800000</v>
      </c>
      <c r="H54" s="108">
        <f>'Приложение 4'!G53</f>
        <v>0</v>
      </c>
      <c r="I54" s="108">
        <f>'Приложение 4'!H53</f>
        <v>0</v>
      </c>
    </row>
    <row r="55" spans="1:9" ht="33.75">
      <c r="A55" s="70" t="s">
        <v>267</v>
      </c>
      <c r="B55" s="101">
        <v>701</v>
      </c>
      <c r="C55" s="105" t="s">
        <v>308</v>
      </c>
      <c r="D55" s="105" t="s">
        <v>336</v>
      </c>
      <c r="E55" s="105" t="s">
        <v>268</v>
      </c>
      <c r="F55" s="105"/>
      <c r="G55" s="106">
        <f>G56+G61+G65</f>
        <v>78701618.81</v>
      </c>
      <c r="H55" s="106">
        <f>H56+H61+H65</f>
        <v>49068592.46</v>
      </c>
      <c r="I55" s="106">
        <f>I56+I61+I65</f>
        <v>49068592.46</v>
      </c>
    </row>
    <row r="56" spans="1:14" ht="16.5">
      <c r="A56" s="48" t="s">
        <v>192</v>
      </c>
      <c r="B56" s="101">
        <v>701</v>
      </c>
      <c r="C56" s="107" t="s">
        <v>308</v>
      </c>
      <c r="D56" s="107" t="s">
        <v>336</v>
      </c>
      <c r="E56" s="107" t="s">
        <v>269</v>
      </c>
      <c r="F56" s="107"/>
      <c r="G56" s="108">
        <f>SUM(G57:G60)</f>
        <v>33796188.23</v>
      </c>
      <c r="H56" s="108">
        <f>SUM(H57:H60)</f>
        <v>33419089.29</v>
      </c>
      <c r="I56" s="108">
        <f>SUM(I57:I60)</f>
        <v>33419089.29</v>
      </c>
      <c r="N56" s="27"/>
    </row>
    <row r="57" spans="1:9" ht="67.5">
      <c r="A57" s="48" t="s">
        <v>194</v>
      </c>
      <c r="B57" s="101">
        <v>701</v>
      </c>
      <c r="C57" s="107" t="s">
        <v>308</v>
      </c>
      <c r="D57" s="107" t="s">
        <v>336</v>
      </c>
      <c r="E57" s="107" t="s">
        <v>269</v>
      </c>
      <c r="F57" s="107" t="s">
        <v>229</v>
      </c>
      <c r="G57" s="108">
        <f>'Приложение 4'!F56</f>
        <v>31305894.72</v>
      </c>
      <c r="H57" s="108">
        <f>'Приложение 4'!G56</f>
        <v>30799509</v>
      </c>
      <c r="I57" s="108">
        <f>'Приложение 4'!H56</f>
        <v>30799509</v>
      </c>
    </row>
    <row r="58" spans="1:9" ht="33.75">
      <c r="A58" s="48" t="s">
        <v>195</v>
      </c>
      <c r="B58" s="101">
        <v>701</v>
      </c>
      <c r="C58" s="107" t="s">
        <v>308</v>
      </c>
      <c r="D58" s="107" t="s">
        <v>336</v>
      </c>
      <c r="E58" s="107" t="s">
        <v>269</v>
      </c>
      <c r="F58" s="107" t="s">
        <v>252</v>
      </c>
      <c r="G58" s="108">
        <f>'Приложение 4'!F57</f>
        <v>2461952.83</v>
      </c>
      <c r="H58" s="108">
        <f>'Приложение 4'!G57</f>
        <v>2614580.29</v>
      </c>
      <c r="I58" s="108">
        <f>'Приложение 4'!H57</f>
        <v>2614580.29</v>
      </c>
    </row>
    <row r="59" spans="1:9" ht="16.5">
      <c r="A59" s="48" t="s">
        <v>196</v>
      </c>
      <c r="B59" s="101">
        <v>702</v>
      </c>
      <c r="C59" s="107" t="s">
        <v>308</v>
      </c>
      <c r="D59" s="107" t="s">
        <v>336</v>
      </c>
      <c r="E59" s="107" t="s">
        <v>269</v>
      </c>
      <c r="F59" s="107" t="s">
        <v>257</v>
      </c>
      <c r="G59" s="108">
        <f>'Приложение 4'!F58</f>
        <v>23340.68</v>
      </c>
      <c r="H59" s="108">
        <f>'Приложение 4'!G58</f>
        <v>0</v>
      </c>
      <c r="I59" s="108">
        <f>'Приложение 4'!H58</f>
        <v>0</v>
      </c>
    </row>
    <row r="60" spans="1:9" s="138" customFormat="1" ht="16.5">
      <c r="A60" s="48" t="s">
        <v>197</v>
      </c>
      <c r="B60" s="101">
        <v>701</v>
      </c>
      <c r="C60" s="107" t="s">
        <v>308</v>
      </c>
      <c r="D60" s="107" t="s">
        <v>336</v>
      </c>
      <c r="E60" s="107" t="s">
        <v>269</v>
      </c>
      <c r="F60" s="107" t="s">
        <v>231</v>
      </c>
      <c r="G60" s="108">
        <f>'Приложение 4'!F59</f>
        <v>5000</v>
      </c>
      <c r="H60" s="108">
        <f>'Приложение 4'!G59</f>
        <v>5000</v>
      </c>
      <c r="I60" s="108">
        <f>'Приложение 4'!H59</f>
        <v>5000</v>
      </c>
    </row>
    <row r="61" spans="1:9" s="138" customFormat="1" ht="16.5">
      <c r="A61" s="139" t="s">
        <v>270</v>
      </c>
      <c r="B61" s="101">
        <v>701</v>
      </c>
      <c r="C61" s="105" t="s">
        <v>308</v>
      </c>
      <c r="D61" s="105" t="s">
        <v>336</v>
      </c>
      <c r="E61" s="105" t="s">
        <v>271</v>
      </c>
      <c r="F61" s="105"/>
      <c r="G61" s="106">
        <f>G62+G63+G64</f>
        <v>35851491.58</v>
      </c>
      <c r="H61" s="106">
        <f>H62+H63+H64</f>
        <v>12005877.25</v>
      </c>
      <c r="I61" s="106">
        <f>I62+I63+I64</f>
        <v>12005877.25</v>
      </c>
    </row>
    <row r="62" spans="1:9" s="138" customFormat="1" ht="31.5" customHeight="1">
      <c r="A62" s="48" t="s">
        <v>195</v>
      </c>
      <c r="B62" s="101">
        <v>701</v>
      </c>
      <c r="C62" s="107" t="s">
        <v>308</v>
      </c>
      <c r="D62" s="107" t="s">
        <v>336</v>
      </c>
      <c r="E62" s="107" t="s">
        <v>271</v>
      </c>
      <c r="F62" s="107" t="s">
        <v>252</v>
      </c>
      <c r="G62" s="108">
        <f>'Приложение 4'!F61</f>
        <v>15515922.57</v>
      </c>
      <c r="H62" s="108">
        <f>'Приложение 4'!G61</f>
        <v>11995877.25</v>
      </c>
      <c r="I62" s="108">
        <f>'Приложение 4'!H61</f>
        <v>11995877.25</v>
      </c>
    </row>
    <row r="63" spans="1:9" s="138" customFormat="1" ht="33.75">
      <c r="A63" s="48" t="s">
        <v>272</v>
      </c>
      <c r="B63" s="101">
        <v>701</v>
      </c>
      <c r="C63" s="107" t="s">
        <v>308</v>
      </c>
      <c r="D63" s="107" t="s">
        <v>336</v>
      </c>
      <c r="E63" s="107" t="s">
        <v>271</v>
      </c>
      <c r="F63" s="107" t="s">
        <v>266</v>
      </c>
      <c r="G63" s="108">
        <f>'Приложение 4'!F62</f>
        <v>16325569.01</v>
      </c>
      <c r="H63" s="108">
        <f>'Приложение 4'!G62</f>
        <v>0</v>
      </c>
      <c r="I63" s="108">
        <f>'Приложение 4'!H62</f>
        <v>0</v>
      </c>
    </row>
    <row r="64" spans="1:9" s="138" customFormat="1" ht="16.5">
      <c r="A64" s="48" t="s">
        <v>197</v>
      </c>
      <c r="B64" s="101">
        <v>701</v>
      </c>
      <c r="C64" s="107" t="s">
        <v>308</v>
      </c>
      <c r="D64" s="107" t="s">
        <v>336</v>
      </c>
      <c r="E64" s="107" t="s">
        <v>271</v>
      </c>
      <c r="F64" s="107" t="s">
        <v>231</v>
      </c>
      <c r="G64" s="108">
        <f>'Приложение 4'!F63</f>
        <v>4010000</v>
      </c>
      <c r="H64" s="108">
        <f>'Приложение 4'!G63</f>
        <v>10000</v>
      </c>
      <c r="I64" s="108">
        <f>'Приложение 4'!H63</f>
        <v>10000</v>
      </c>
    </row>
    <row r="65" spans="1:9" s="138" customFormat="1" ht="16.5">
      <c r="A65" s="65" t="s">
        <v>273</v>
      </c>
      <c r="B65" s="101">
        <v>701</v>
      </c>
      <c r="C65" s="105" t="s">
        <v>308</v>
      </c>
      <c r="D65" s="105" t="s">
        <v>336</v>
      </c>
      <c r="E65" s="105" t="s">
        <v>274</v>
      </c>
      <c r="F65" s="105"/>
      <c r="G65" s="106">
        <f>G66+G67+G68</f>
        <v>9053939</v>
      </c>
      <c r="H65" s="106">
        <f>H66+H67+H68</f>
        <v>3643625.92</v>
      </c>
      <c r="I65" s="106">
        <f>I66+I67+I68</f>
        <v>3643625.92</v>
      </c>
    </row>
    <row r="66" spans="1:9" ht="63.75" customHeight="1">
      <c r="A66" s="48" t="s">
        <v>195</v>
      </c>
      <c r="B66" s="101">
        <v>701</v>
      </c>
      <c r="C66" s="107" t="s">
        <v>308</v>
      </c>
      <c r="D66" s="107" t="s">
        <v>336</v>
      </c>
      <c r="E66" s="107" t="s">
        <v>274</v>
      </c>
      <c r="F66" s="107" t="s">
        <v>252</v>
      </c>
      <c r="G66" s="108">
        <f>'Приложение 4'!F65</f>
        <v>9053939</v>
      </c>
      <c r="H66" s="108">
        <f>'Приложение 4'!G65</f>
        <v>3643625.92</v>
      </c>
      <c r="I66" s="108">
        <f>'Приложение 4'!H65</f>
        <v>3643625.92</v>
      </c>
    </row>
    <row r="67" spans="1:9" ht="33.75">
      <c r="A67" s="48" t="s">
        <v>272</v>
      </c>
      <c r="B67" s="101">
        <v>701</v>
      </c>
      <c r="C67" s="107" t="s">
        <v>308</v>
      </c>
      <c r="D67" s="107" t="s">
        <v>336</v>
      </c>
      <c r="E67" s="107" t="s">
        <v>274</v>
      </c>
      <c r="F67" s="107" t="s">
        <v>266</v>
      </c>
      <c r="G67" s="108">
        <f>'Приложение 4'!F66</f>
        <v>0</v>
      </c>
      <c r="H67" s="108">
        <f>'Приложение 4'!G66</f>
        <v>0</v>
      </c>
      <c r="I67" s="108">
        <f>'Приложение 4'!H66</f>
        <v>0</v>
      </c>
    </row>
    <row r="68" spans="1:9" ht="16.5">
      <c r="A68" s="48" t="s">
        <v>197</v>
      </c>
      <c r="B68" s="101">
        <v>701</v>
      </c>
      <c r="C68" s="107" t="s">
        <v>308</v>
      </c>
      <c r="D68" s="107" t="s">
        <v>336</v>
      </c>
      <c r="E68" s="107" t="s">
        <v>274</v>
      </c>
      <c r="F68" s="107" t="s">
        <v>231</v>
      </c>
      <c r="G68" s="108">
        <f>'Приложение 4'!F67</f>
        <v>0</v>
      </c>
      <c r="H68" s="108">
        <f>'Приложение 4'!G67</f>
        <v>0</v>
      </c>
      <c r="I68" s="108">
        <f>'Приложение 4'!H67</f>
        <v>0</v>
      </c>
    </row>
    <row r="69" spans="1:9" ht="16.5">
      <c r="A69" s="70" t="s">
        <v>311</v>
      </c>
      <c r="B69" s="101">
        <v>701</v>
      </c>
      <c r="C69" s="105" t="s">
        <v>308</v>
      </c>
      <c r="D69" s="105" t="s">
        <v>336</v>
      </c>
      <c r="E69" s="101">
        <v>9900000000</v>
      </c>
      <c r="F69" s="105"/>
      <c r="G69" s="106">
        <f>G70+G76</f>
        <v>547283690.86</v>
      </c>
      <c r="H69" s="106">
        <f>H70+H76</f>
        <v>413679094.86</v>
      </c>
      <c r="I69" s="106">
        <f>I70+I76</f>
        <v>413679094.86</v>
      </c>
    </row>
    <row r="70" spans="1:9" ht="33.75">
      <c r="A70" s="48" t="s">
        <v>313</v>
      </c>
      <c r="B70" s="101">
        <v>701</v>
      </c>
      <c r="C70" s="107" t="s">
        <v>308</v>
      </c>
      <c r="D70" s="107" t="s">
        <v>336</v>
      </c>
      <c r="E70" s="98">
        <v>9910000000</v>
      </c>
      <c r="F70" s="107"/>
      <c r="G70" s="108">
        <f>SUM(G71:G75)</f>
        <v>443755541.91</v>
      </c>
      <c r="H70" s="108">
        <f>SUM(H71:H75)</f>
        <v>408093714.86</v>
      </c>
      <c r="I70" s="108">
        <f>SUM(I71:I75)</f>
        <v>408093714.86</v>
      </c>
    </row>
    <row r="71" spans="1:9" ht="67.5">
      <c r="A71" s="48" t="s">
        <v>194</v>
      </c>
      <c r="B71" s="101">
        <v>701</v>
      </c>
      <c r="C71" s="107" t="s">
        <v>308</v>
      </c>
      <c r="D71" s="107" t="s">
        <v>336</v>
      </c>
      <c r="E71" s="98">
        <v>9910000000</v>
      </c>
      <c r="F71" s="107" t="s">
        <v>229</v>
      </c>
      <c r="G71" s="108">
        <f>'Приложение 4'!F70</f>
        <v>135358757.72</v>
      </c>
      <c r="H71" s="108">
        <f>'Приложение 4'!G70</f>
        <v>131394775.41999999</v>
      </c>
      <c r="I71" s="108">
        <f>'Приложение 4'!H70</f>
        <v>131394775.41999999</v>
      </c>
    </row>
    <row r="72" spans="1:9" ht="33.75">
      <c r="A72" s="48" t="s">
        <v>195</v>
      </c>
      <c r="B72" s="101">
        <v>701</v>
      </c>
      <c r="C72" s="107" t="s">
        <v>308</v>
      </c>
      <c r="D72" s="107" t="s">
        <v>336</v>
      </c>
      <c r="E72" s="98">
        <v>9910000000</v>
      </c>
      <c r="F72" s="107" t="s">
        <v>252</v>
      </c>
      <c r="G72" s="108">
        <f>'Приложение 4'!F71</f>
        <v>16549728.68</v>
      </c>
      <c r="H72" s="108">
        <f>'Приложение 4'!G71</f>
        <v>18789326.62</v>
      </c>
      <c r="I72" s="108">
        <f>'Приложение 4'!H71</f>
        <v>18789326.62</v>
      </c>
    </row>
    <row r="73" spans="1:9" ht="16.5">
      <c r="A73" s="48" t="s">
        <v>196</v>
      </c>
      <c r="B73" s="101">
        <v>701</v>
      </c>
      <c r="C73" s="107" t="s">
        <v>308</v>
      </c>
      <c r="D73" s="107" t="s">
        <v>336</v>
      </c>
      <c r="E73" s="98">
        <v>9910000000</v>
      </c>
      <c r="F73" s="107" t="s">
        <v>257</v>
      </c>
      <c r="G73" s="108">
        <f>'Приложение 4'!F72</f>
        <v>8411.279999999999</v>
      </c>
      <c r="H73" s="108">
        <f>'Приложение 4'!G72</f>
        <v>0</v>
      </c>
      <c r="I73" s="108">
        <f>'Приложение 4'!H72</f>
        <v>0</v>
      </c>
    </row>
    <row r="74" spans="1:9" ht="33.75">
      <c r="A74" s="46" t="s">
        <v>204</v>
      </c>
      <c r="B74" s="101">
        <v>701</v>
      </c>
      <c r="C74" s="107" t="s">
        <v>308</v>
      </c>
      <c r="D74" s="107" t="s">
        <v>336</v>
      </c>
      <c r="E74" s="98">
        <v>9910000000</v>
      </c>
      <c r="F74" s="107" t="s">
        <v>338</v>
      </c>
      <c r="G74" s="108">
        <f>'Приложение 4'!F73</f>
        <v>290760354.23</v>
      </c>
      <c r="H74" s="108">
        <f>'Приложение 4'!G73</f>
        <v>256831322.82</v>
      </c>
      <c r="I74" s="108">
        <f>'Приложение 4'!H73</f>
        <v>256831322.82</v>
      </c>
    </row>
    <row r="75" spans="1:9" ht="16.5">
      <c r="A75" s="48" t="s">
        <v>197</v>
      </c>
      <c r="B75" s="101">
        <v>701</v>
      </c>
      <c r="C75" s="107" t="s">
        <v>308</v>
      </c>
      <c r="D75" s="107" t="s">
        <v>336</v>
      </c>
      <c r="E75" s="98">
        <v>9910000000</v>
      </c>
      <c r="F75" s="107" t="s">
        <v>231</v>
      </c>
      <c r="G75" s="108">
        <f>'Приложение 4'!F74</f>
        <v>1078290</v>
      </c>
      <c r="H75" s="108">
        <f>'Приложение 4'!G74</f>
        <v>1078290</v>
      </c>
      <c r="I75" s="108">
        <f>'Приложение 4'!H74</f>
        <v>1078290</v>
      </c>
    </row>
    <row r="76" spans="1:9" s="138" customFormat="1" ht="16.5">
      <c r="A76" s="48" t="s">
        <v>331</v>
      </c>
      <c r="B76" s="101">
        <v>701</v>
      </c>
      <c r="C76" s="107" t="s">
        <v>308</v>
      </c>
      <c r="D76" s="107" t="s">
        <v>336</v>
      </c>
      <c r="E76" s="107" t="s">
        <v>332</v>
      </c>
      <c r="F76" s="107"/>
      <c r="G76" s="108">
        <f>SUM(G77:G80)</f>
        <v>103528148.94999999</v>
      </c>
      <c r="H76" s="108">
        <f>SUM(H77:H80)</f>
        <v>5585380</v>
      </c>
      <c r="I76" s="108">
        <f>SUM(I77:I80)</f>
        <v>5585380</v>
      </c>
    </row>
    <row r="77" spans="1:9" s="136" customFormat="1" ht="33.75">
      <c r="A77" s="48" t="s">
        <v>195</v>
      </c>
      <c r="B77" s="101">
        <v>701</v>
      </c>
      <c r="C77" s="107" t="s">
        <v>308</v>
      </c>
      <c r="D77" s="107" t="s">
        <v>336</v>
      </c>
      <c r="E77" s="107" t="s">
        <v>332</v>
      </c>
      <c r="F77" s="107" t="s">
        <v>252</v>
      </c>
      <c r="G77" s="108">
        <f>'Приложение 4'!F76</f>
        <v>59922390.28</v>
      </c>
      <c r="H77" s="108">
        <f>'Приложение 4'!G76</f>
        <v>5355500</v>
      </c>
      <c r="I77" s="108">
        <f>'Приложение 4'!H76</f>
        <v>5355500</v>
      </c>
    </row>
    <row r="78" spans="1:9" s="138" customFormat="1" ht="16.5">
      <c r="A78" s="48" t="s">
        <v>196</v>
      </c>
      <c r="B78" s="101">
        <v>701</v>
      </c>
      <c r="C78" s="107" t="s">
        <v>308</v>
      </c>
      <c r="D78" s="107" t="s">
        <v>336</v>
      </c>
      <c r="E78" s="107" t="s">
        <v>332</v>
      </c>
      <c r="F78" s="107" t="s">
        <v>257</v>
      </c>
      <c r="G78" s="108">
        <f>'Приложение 4'!F77</f>
        <v>2915744.5</v>
      </c>
      <c r="H78" s="108">
        <f>'Приложение 4'!G77</f>
        <v>229880</v>
      </c>
      <c r="I78" s="108">
        <f>'Приложение 4'!H77</f>
        <v>229880</v>
      </c>
    </row>
    <row r="79" spans="1:9" s="138" customFormat="1" ht="33.75">
      <c r="A79" s="46" t="s">
        <v>204</v>
      </c>
      <c r="B79" s="101">
        <v>701</v>
      </c>
      <c r="C79" s="107" t="s">
        <v>308</v>
      </c>
      <c r="D79" s="107" t="s">
        <v>336</v>
      </c>
      <c r="E79" s="107" t="s">
        <v>332</v>
      </c>
      <c r="F79" s="107" t="s">
        <v>338</v>
      </c>
      <c r="G79" s="108">
        <f>'Приложение 4'!F78</f>
        <v>17301370.08</v>
      </c>
      <c r="H79" s="108">
        <f>'Приложение 4'!G78</f>
        <v>0</v>
      </c>
      <c r="I79" s="108">
        <f>'Приложение 4'!H78</f>
        <v>0</v>
      </c>
    </row>
    <row r="80" spans="1:9" s="138" customFormat="1" ht="16.5">
      <c r="A80" s="48" t="s">
        <v>197</v>
      </c>
      <c r="B80" s="101">
        <v>701</v>
      </c>
      <c r="C80" s="107" t="s">
        <v>308</v>
      </c>
      <c r="D80" s="107" t="s">
        <v>336</v>
      </c>
      <c r="E80" s="107" t="s">
        <v>332</v>
      </c>
      <c r="F80" s="107" t="s">
        <v>231</v>
      </c>
      <c r="G80" s="108">
        <f>'Приложение 4'!F79</f>
        <v>23388644.089999996</v>
      </c>
      <c r="H80" s="108">
        <f>'Приложение 4'!G79</f>
        <v>0</v>
      </c>
      <c r="I80" s="108">
        <f>'Приложение 4'!H79</f>
        <v>0</v>
      </c>
    </row>
    <row r="81" spans="1:9" s="140" customFormat="1" ht="16.5">
      <c r="A81" s="66" t="s">
        <v>777</v>
      </c>
      <c r="B81" s="101">
        <v>701</v>
      </c>
      <c r="C81" s="105" t="s">
        <v>310</v>
      </c>
      <c r="D81" s="105"/>
      <c r="E81" s="105"/>
      <c r="F81" s="105"/>
      <c r="G81" s="106">
        <f>G82</f>
        <v>15370880.92</v>
      </c>
      <c r="H81" s="106">
        <f aca="true" t="shared" si="7" ref="H81:I84">H82</f>
        <v>0</v>
      </c>
      <c r="I81" s="106">
        <f t="shared" si="7"/>
        <v>0</v>
      </c>
    </row>
    <row r="82" spans="1:9" s="140" customFormat="1" ht="16.5">
      <c r="A82" s="66" t="s">
        <v>778</v>
      </c>
      <c r="B82" s="101">
        <v>701</v>
      </c>
      <c r="C82" s="105" t="s">
        <v>310</v>
      </c>
      <c r="D82" s="105" t="s">
        <v>318</v>
      </c>
      <c r="E82" s="105"/>
      <c r="F82" s="105"/>
      <c r="G82" s="106">
        <f>G83</f>
        <v>15370880.92</v>
      </c>
      <c r="H82" s="106">
        <f t="shared" si="7"/>
        <v>0</v>
      </c>
      <c r="I82" s="106">
        <f t="shared" si="7"/>
        <v>0</v>
      </c>
    </row>
    <row r="83" spans="1:9" s="140" customFormat="1" ht="16.5">
      <c r="A83" s="66" t="s">
        <v>311</v>
      </c>
      <c r="B83" s="101">
        <v>701</v>
      </c>
      <c r="C83" s="105" t="s">
        <v>310</v>
      </c>
      <c r="D83" s="105" t="s">
        <v>318</v>
      </c>
      <c r="E83" s="101">
        <v>9900000000</v>
      </c>
      <c r="F83" s="105"/>
      <c r="G83" s="106">
        <f>G84</f>
        <v>15370880.92</v>
      </c>
      <c r="H83" s="106">
        <f t="shared" si="7"/>
        <v>0</v>
      </c>
      <c r="I83" s="106">
        <f t="shared" si="7"/>
        <v>0</v>
      </c>
    </row>
    <row r="84" spans="1:9" s="138" customFormat="1" ht="16.5">
      <c r="A84" s="48" t="s">
        <v>331</v>
      </c>
      <c r="B84" s="101">
        <v>701</v>
      </c>
      <c r="C84" s="107" t="s">
        <v>310</v>
      </c>
      <c r="D84" s="107" t="s">
        <v>318</v>
      </c>
      <c r="E84" s="98">
        <v>9950000000</v>
      </c>
      <c r="F84" s="107"/>
      <c r="G84" s="108">
        <f>G85</f>
        <v>15370880.92</v>
      </c>
      <c r="H84" s="108">
        <f t="shared" si="7"/>
        <v>0</v>
      </c>
      <c r="I84" s="108">
        <f t="shared" si="7"/>
        <v>0</v>
      </c>
    </row>
    <row r="85" spans="1:9" s="138" customFormat="1" ht="33.75">
      <c r="A85" s="48" t="s">
        <v>195</v>
      </c>
      <c r="B85" s="101">
        <v>701</v>
      </c>
      <c r="C85" s="107" t="s">
        <v>310</v>
      </c>
      <c r="D85" s="107" t="s">
        <v>318</v>
      </c>
      <c r="E85" s="98">
        <v>9950000000</v>
      </c>
      <c r="F85" s="107" t="s">
        <v>252</v>
      </c>
      <c r="G85" s="108">
        <f>'Приложение 4'!F84</f>
        <v>15370880.92</v>
      </c>
      <c r="H85" s="108">
        <f>'Приложение 4'!G84</f>
        <v>0</v>
      </c>
      <c r="I85" s="108">
        <f>'Приложение 4'!H84</f>
        <v>0</v>
      </c>
    </row>
    <row r="86" spans="1:9" s="140" customFormat="1" ht="33.75">
      <c r="A86" s="70" t="s">
        <v>343</v>
      </c>
      <c r="B86" s="101">
        <v>701</v>
      </c>
      <c r="C86" s="105" t="s">
        <v>318</v>
      </c>
      <c r="D86" s="105"/>
      <c r="E86" s="105"/>
      <c r="F86" s="105"/>
      <c r="G86" s="106">
        <f aca="true" t="shared" si="8" ref="G86:I87">G87</f>
        <v>14716624.530000001</v>
      </c>
      <c r="H86" s="106">
        <f t="shared" si="8"/>
        <v>14655349</v>
      </c>
      <c r="I86" s="106">
        <f t="shared" si="8"/>
        <v>14655349</v>
      </c>
    </row>
    <row r="87" spans="1:9" s="140" customFormat="1" ht="67.5">
      <c r="A87" s="70" t="s">
        <v>344</v>
      </c>
      <c r="B87" s="101">
        <v>701</v>
      </c>
      <c r="C87" s="105" t="s">
        <v>318</v>
      </c>
      <c r="D87" s="105" t="s">
        <v>345</v>
      </c>
      <c r="E87" s="105"/>
      <c r="F87" s="105"/>
      <c r="G87" s="106">
        <f t="shared" si="8"/>
        <v>14716624.530000001</v>
      </c>
      <c r="H87" s="106">
        <f t="shared" si="8"/>
        <v>14655349</v>
      </c>
      <c r="I87" s="106">
        <f t="shared" si="8"/>
        <v>14655349</v>
      </c>
    </row>
    <row r="88" spans="1:9" s="138" customFormat="1" ht="16.5">
      <c r="A88" s="66" t="s">
        <v>311</v>
      </c>
      <c r="B88" s="101">
        <v>701</v>
      </c>
      <c r="C88" s="105" t="s">
        <v>318</v>
      </c>
      <c r="D88" s="105" t="s">
        <v>345</v>
      </c>
      <c r="E88" s="101">
        <v>9900000000</v>
      </c>
      <c r="F88" s="101"/>
      <c r="G88" s="106">
        <f>G89+G93</f>
        <v>14716624.530000001</v>
      </c>
      <c r="H88" s="106">
        <f>H89+H93</f>
        <v>14655349</v>
      </c>
      <c r="I88" s="106">
        <f>I89+I93</f>
        <v>14655349</v>
      </c>
    </row>
    <row r="89" spans="1:9" s="138" customFormat="1" ht="33.75">
      <c r="A89" s="48" t="s">
        <v>313</v>
      </c>
      <c r="B89" s="101">
        <v>701</v>
      </c>
      <c r="C89" s="107" t="s">
        <v>318</v>
      </c>
      <c r="D89" s="107" t="s">
        <v>345</v>
      </c>
      <c r="E89" s="98">
        <v>9910000000</v>
      </c>
      <c r="F89" s="98"/>
      <c r="G89" s="108">
        <f>SUM(G90:G92)</f>
        <v>13716624.530000001</v>
      </c>
      <c r="H89" s="108">
        <f>SUM(H90:H92)</f>
        <v>13155349</v>
      </c>
      <c r="I89" s="108">
        <f>SUM(I90:I92)</f>
        <v>13155349</v>
      </c>
    </row>
    <row r="90" spans="1:9" s="138" customFormat="1" ht="67.5">
      <c r="A90" s="48" t="s">
        <v>194</v>
      </c>
      <c r="B90" s="101">
        <v>701</v>
      </c>
      <c r="C90" s="107" t="s">
        <v>318</v>
      </c>
      <c r="D90" s="107" t="s">
        <v>345</v>
      </c>
      <c r="E90" s="98">
        <v>9910000000</v>
      </c>
      <c r="F90" s="107" t="s">
        <v>229</v>
      </c>
      <c r="G90" s="108">
        <f>'Приложение 4'!F89</f>
        <v>10616269.91</v>
      </c>
      <c r="H90" s="108">
        <f>'Приложение 4'!G89</f>
        <v>9415554</v>
      </c>
      <c r="I90" s="108">
        <f>'Приложение 4'!H89</f>
        <v>9415554</v>
      </c>
    </row>
    <row r="91" spans="1:9" s="138" customFormat="1" ht="33.75">
      <c r="A91" s="48" t="s">
        <v>195</v>
      </c>
      <c r="B91" s="101">
        <v>701</v>
      </c>
      <c r="C91" s="107" t="s">
        <v>318</v>
      </c>
      <c r="D91" s="107" t="s">
        <v>345</v>
      </c>
      <c r="E91" s="98">
        <v>9910000000</v>
      </c>
      <c r="F91" s="107" t="s">
        <v>252</v>
      </c>
      <c r="G91" s="108">
        <f>'Приложение 4'!F90</f>
        <v>3100354.62</v>
      </c>
      <c r="H91" s="108">
        <f>'Приложение 4'!G90</f>
        <v>3738715</v>
      </c>
      <c r="I91" s="108">
        <f>'Приложение 4'!H90</f>
        <v>3738715</v>
      </c>
    </row>
    <row r="92" spans="1:9" s="138" customFormat="1" ht="16.5">
      <c r="A92" s="48" t="s">
        <v>197</v>
      </c>
      <c r="B92" s="101">
        <v>701</v>
      </c>
      <c r="C92" s="107" t="s">
        <v>318</v>
      </c>
      <c r="D92" s="107" t="s">
        <v>345</v>
      </c>
      <c r="E92" s="98">
        <v>9910000000</v>
      </c>
      <c r="F92" s="98">
        <v>800</v>
      </c>
      <c r="G92" s="108">
        <f>'Приложение 4'!F91</f>
        <v>0</v>
      </c>
      <c r="H92" s="108">
        <f>'Приложение 4'!G91</f>
        <v>1080</v>
      </c>
      <c r="I92" s="108">
        <f>'Приложение 4'!H91</f>
        <v>1080</v>
      </c>
    </row>
    <row r="93" spans="1:9" s="138" customFormat="1" ht="16.5">
      <c r="A93" s="48" t="s">
        <v>331</v>
      </c>
      <c r="B93" s="101">
        <v>701</v>
      </c>
      <c r="C93" s="107" t="s">
        <v>318</v>
      </c>
      <c r="D93" s="107" t="s">
        <v>345</v>
      </c>
      <c r="E93" s="98">
        <v>9950000000</v>
      </c>
      <c r="F93" s="98"/>
      <c r="G93" s="108">
        <f>G94</f>
        <v>1000000</v>
      </c>
      <c r="H93" s="108">
        <f>H94</f>
        <v>1500000</v>
      </c>
      <c r="I93" s="108">
        <f>I94</f>
        <v>1500000</v>
      </c>
    </row>
    <row r="94" spans="1:9" s="138" customFormat="1" ht="33.75">
      <c r="A94" s="48" t="s">
        <v>195</v>
      </c>
      <c r="B94" s="101">
        <v>701</v>
      </c>
      <c r="C94" s="107" t="s">
        <v>318</v>
      </c>
      <c r="D94" s="107" t="s">
        <v>345</v>
      </c>
      <c r="E94" s="98">
        <v>9950000000</v>
      </c>
      <c r="F94" s="98">
        <v>200</v>
      </c>
      <c r="G94" s="108">
        <f>'Приложение 4'!F93</f>
        <v>1000000</v>
      </c>
      <c r="H94" s="108">
        <f>'Приложение 4'!G93</f>
        <v>1500000</v>
      </c>
      <c r="I94" s="108">
        <f>'Приложение 4'!H93</f>
        <v>1500000</v>
      </c>
    </row>
    <row r="95" spans="1:9" s="140" customFormat="1" ht="16.5">
      <c r="A95" s="70" t="s">
        <v>348</v>
      </c>
      <c r="B95" s="101">
        <v>701</v>
      </c>
      <c r="C95" s="105" t="s">
        <v>322</v>
      </c>
      <c r="D95" s="105"/>
      <c r="E95" s="105"/>
      <c r="F95" s="105"/>
      <c r="G95" s="106">
        <f>G96+G100+G113+G120+G128+G124</f>
        <v>289649487.85999995</v>
      </c>
      <c r="H95" s="106">
        <f>H96+H100+H113+H120+H128</f>
        <v>104772258.22</v>
      </c>
      <c r="I95" s="106">
        <f>I96+I100+I113+I120+I128</f>
        <v>105663739.58</v>
      </c>
    </row>
    <row r="96" spans="1:9" s="140" customFormat="1" ht="16.5">
      <c r="A96" s="70" t="s">
        <v>349</v>
      </c>
      <c r="B96" s="101">
        <v>701</v>
      </c>
      <c r="C96" s="105" t="s">
        <v>322</v>
      </c>
      <c r="D96" s="105" t="s">
        <v>308</v>
      </c>
      <c r="E96" s="105"/>
      <c r="F96" s="105"/>
      <c r="G96" s="106">
        <f aca="true" t="shared" si="9" ref="G96:I98">G97</f>
        <v>307161.12999999995</v>
      </c>
      <c r="H96" s="106">
        <f t="shared" si="9"/>
        <v>847554.33</v>
      </c>
      <c r="I96" s="106">
        <f t="shared" si="9"/>
        <v>847554.33</v>
      </c>
    </row>
    <row r="97" spans="1:9" s="140" customFormat="1" ht="16.5">
      <c r="A97" s="70" t="s">
        <v>311</v>
      </c>
      <c r="B97" s="101">
        <v>701</v>
      </c>
      <c r="C97" s="105" t="s">
        <v>322</v>
      </c>
      <c r="D97" s="105" t="s">
        <v>308</v>
      </c>
      <c r="E97" s="105">
        <v>9900000000</v>
      </c>
      <c r="F97" s="105"/>
      <c r="G97" s="106">
        <f t="shared" si="9"/>
        <v>307161.12999999995</v>
      </c>
      <c r="H97" s="106">
        <f t="shared" si="9"/>
        <v>847554.33</v>
      </c>
      <c r="I97" s="106">
        <f t="shared" si="9"/>
        <v>847554.33</v>
      </c>
    </row>
    <row r="98" spans="1:9" s="140" customFormat="1" ht="33.75">
      <c r="A98" s="48" t="s">
        <v>313</v>
      </c>
      <c r="B98" s="101">
        <v>701</v>
      </c>
      <c r="C98" s="107" t="s">
        <v>322</v>
      </c>
      <c r="D98" s="107" t="s">
        <v>308</v>
      </c>
      <c r="E98" s="107" t="s">
        <v>314</v>
      </c>
      <c r="F98" s="107"/>
      <c r="G98" s="108">
        <f t="shared" si="9"/>
        <v>307161.12999999995</v>
      </c>
      <c r="H98" s="108">
        <f t="shared" si="9"/>
        <v>847554.33</v>
      </c>
      <c r="I98" s="108">
        <f t="shared" si="9"/>
        <v>847554.33</v>
      </c>
    </row>
    <row r="99" spans="1:9" s="140" customFormat="1" ht="67.5">
      <c r="A99" s="48" t="s">
        <v>194</v>
      </c>
      <c r="B99" s="101">
        <v>701</v>
      </c>
      <c r="C99" s="107" t="s">
        <v>322</v>
      </c>
      <c r="D99" s="107" t="s">
        <v>308</v>
      </c>
      <c r="E99" s="107" t="s">
        <v>314</v>
      </c>
      <c r="F99" s="107" t="s">
        <v>229</v>
      </c>
      <c r="G99" s="108">
        <f>'Приложение 4'!F98</f>
        <v>307161.12999999995</v>
      </c>
      <c r="H99" s="108">
        <f>'Приложение 4'!G98</f>
        <v>847554.33</v>
      </c>
      <c r="I99" s="108">
        <f>'Приложение 4'!H98</f>
        <v>847554.33</v>
      </c>
    </row>
    <row r="100" spans="1:9" s="140" customFormat="1" ht="16.5">
      <c r="A100" s="70" t="s">
        <v>350</v>
      </c>
      <c r="B100" s="101">
        <v>701</v>
      </c>
      <c r="C100" s="105" t="s">
        <v>322</v>
      </c>
      <c r="D100" s="105" t="s">
        <v>351</v>
      </c>
      <c r="E100" s="105"/>
      <c r="F100" s="105"/>
      <c r="G100" s="106">
        <f>G101+G107</f>
        <v>121064620.47</v>
      </c>
      <c r="H100" s="106">
        <f>H101+H107</f>
        <v>66602509.39</v>
      </c>
      <c r="I100" s="106">
        <f>I101+I107</f>
        <v>67493990.75</v>
      </c>
    </row>
    <row r="101" spans="1:9" s="140" customFormat="1" ht="67.5">
      <c r="A101" s="70" t="s">
        <v>225</v>
      </c>
      <c r="B101" s="101">
        <v>701</v>
      </c>
      <c r="C101" s="105" t="s">
        <v>322</v>
      </c>
      <c r="D101" s="105" t="s">
        <v>351</v>
      </c>
      <c r="E101" s="105" t="s">
        <v>226</v>
      </c>
      <c r="F101" s="105"/>
      <c r="G101" s="106">
        <f>G102+G105</f>
        <v>97241734.25999999</v>
      </c>
      <c r="H101" s="106">
        <f>H102+H105</f>
        <v>61634121.07</v>
      </c>
      <c r="I101" s="106">
        <f>I102+I105</f>
        <v>62525602.43</v>
      </c>
    </row>
    <row r="102" spans="1:9" s="140" customFormat="1" ht="16.5">
      <c r="A102" s="48" t="s">
        <v>227</v>
      </c>
      <c r="B102" s="101">
        <v>701</v>
      </c>
      <c r="C102" s="107" t="s">
        <v>322</v>
      </c>
      <c r="D102" s="107" t="s">
        <v>351</v>
      </c>
      <c r="E102" s="107" t="s">
        <v>228</v>
      </c>
      <c r="F102" s="107"/>
      <c r="G102" s="108">
        <f>G103+G104</f>
        <v>1390869.19</v>
      </c>
      <c r="H102" s="108">
        <f>H103+H104</f>
        <v>2491566.61</v>
      </c>
      <c r="I102" s="108">
        <f>I103+I104</f>
        <v>2491566.61</v>
      </c>
    </row>
    <row r="103" spans="1:9" s="140" customFormat="1" ht="67.5">
      <c r="A103" s="48" t="s">
        <v>194</v>
      </c>
      <c r="B103" s="101">
        <v>701</v>
      </c>
      <c r="C103" s="107" t="s">
        <v>322</v>
      </c>
      <c r="D103" s="107" t="s">
        <v>351</v>
      </c>
      <c r="E103" s="107" t="s">
        <v>228</v>
      </c>
      <c r="F103" s="107" t="s">
        <v>229</v>
      </c>
      <c r="G103" s="108">
        <f>'Приложение 4'!F102</f>
        <v>194648.99999999994</v>
      </c>
      <c r="H103" s="108">
        <f>'Приложение 4'!G102</f>
        <v>1295346.42</v>
      </c>
      <c r="I103" s="108">
        <f>'Приложение 4'!H102</f>
        <v>1295346.42</v>
      </c>
    </row>
    <row r="104" spans="1:9" s="140" customFormat="1" ht="33.75">
      <c r="A104" s="46" t="s">
        <v>195</v>
      </c>
      <c r="B104" s="101">
        <v>701</v>
      </c>
      <c r="C104" s="107" t="s">
        <v>322</v>
      </c>
      <c r="D104" s="107" t="s">
        <v>351</v>
      </c>
      <c r="E104" s="107" t="s">
        <v>228</v>
      </c>
      <c r="F104" s="125">
        <v>200</v>
      </c>
      <c r="G104" s="108">
        <f>'Приложение 4'!F103</f>
        <v>1196220.19</v>
      </c>
      <c r="H104" s="108">
        <f>'Приложение 4'!G103</f>
        <v>1196220.19</v>
      </c>
      <c r="I104" s="108">
        <f>'Приложение 4'!H103</f>
        <v>1196220.19</v>
      </c>
    </row>
    <row r="105" spans="1:9" s="140" customFormat="1" ht="33.75">
      <c r="A105" s="46" t="s">
        <v>300</v>
      </c>
      <c r="B105" s="101">
        <v>701</v>
      </c>
      <c r="C105" s="107" t="s">
        <v>322</v>
      </c>
      <c r="D105" s="107" t="s">
        <v>351</v>
      </c>
      <c r="E105" s="107" t="s">
        <v>299</v>
      </c>
      <c r="F105" s="125"/>
      <c r="G105" s="108">
        <f>G106</f>
        <v>95850865.07</v>
      </c>
      <c r="H105" s="108">
        <f>H106</f>
        <v>59142554.46</v>
      </c>
      <c r="I105" s="108">
        <f>I106</f>
        <v>60034035.82</v>
      </c>
    </row>
    <row r="106" spans="1:9" s="140" customFormat="1" ht="16.5">
      <c r="A106" s="46" t="s">
        <v>197</v>
      </c>
      <c r="B106" s="101">
        <v>701</v>
      </c>
      <c r="C106" s="107" t="s">
        <v>322</v>
      </c>
      <c r="D106" s="107" t="s">
        <v>351</v>
      </c>
      <c r="E106" s="107" t="s">
        <v>299</v>
      </c>
      <c r="F106" s="125">
        <v>800</v>
      </c>
      <c r="G106" s="108">
        <f>'Приложение 4'!F105</f>
        <v>95850865.07</v>
      </c>
      <c r="H106" s="108">
        <f>'Приложение 4'!G105</f>
        <v>59142554.46</v>
      </c>
      <c r="I106" s="108">
        <f>'Приложение 4'!H105</f>
        <v>60034035.82</v>
      </c>
    </row>
    <row r="107" spans="1:9" s="140" customFormat="1" ht="16.5">
      <c r="A107" s="66" t="s">
        <v>311</v>
      </c>
      <c r="B107" s="101">
        <v>701</v>
      </c>
      <c r="C107" s="105" t="s">
        <v>322</v>
      </c>
      <c r="D107" s="105" t="s">
        <v>351</v>
      </c>
      <c r="E107" s="105">
        <v>9900000000</v>
      </c>
      <c r="F107" s="98"/>
      <c r="G107" s="108">
        <f>G108+G110</f>
        <v>23822886.21</v>
      </c>
      <c r="H107" s="108">
        <f>H108+H110</f>
        <v>4968388.32</v>
      </c>
      <c r="I107" s="108">
        <f>I108+I110</f>
        <v>4968388.32</v>
      </c>
    </row>
    <row r="108" spans="1:9" s="140" customFormat="1" ht="33.75">
      <c r="A108" s="48" t="s">
        <v>313</v>
      </c>
      <c r="B108" s="101">
        <v>701</v>
      </c>
      <c r="C108" s="107" t="s">
        <v>322</v>
      </c>
      <c r="D108" s="107" t="s">
        <v>351</v>
      </c>
      <c r="E108" s="107">
        <v>9910000000</v>
      </c>
      <c r="F108" s="98"/>
      <c r="G108" s="108">
        <f>G109</f>
        <v>5343610.99</v>
      </c>
      <c r="H108" s="108">
        <f>H109</f>
        <v>4968388.32</v>
      </c>
      <c r="I108" s="108">
        <f>I109</f>
        <v>4968388.32</v>
      </c>
    </row>
    <row r="109" spans="1:9" s="140" customFormat="1" ht="67.5">
      <c r="A109" s="46" t="s">
        <v>194</v>
      </c>
      <c r="B109" s="101">
        <v>701</v>
      </c>
      <c r="C109" s="107" t="s">
        <v>322</v>
      </c>
      <c r="D109" s="107" t="s">
        <v>351</v>
      </c>
      <c r="E109" s="107">
        <v>9910000000</v>
      </c>
      <c r="F109" s="98" t="s">
        <v>229</v>
      </c>
      <c r="G109" s="108">
        <f>'Приложение 4'!F108</f>
        <v>5343610.99</v>
      </c>
      <c r="H109" s="108">
        <f>'Приложение 4'!G108</f>
        <v>4968388.32</v>
      </c>
      <c r="I109" s="108">
        <f>'Приложение 4'!H108</f>
        <v>4968388.32</v>
      </c>
    </row>
    <row r="110" spans="1:9" s="140" customFormat="1" ht="16.5">
      <c r="A110" s="48" t="s">
        <v>331</v>
      </c>
      <c r="B110" s="101">
        <v>701</v>
      </c>
      <c r="C110" s="107" t="s">
        <v>322</v>
      </c>
      <c r="D110" s="107" t="s">
        <v>351</v>
      </c>
      <c r="E110" s="112" t="s">
        <v>332</v>
      </c>
      <c r="F110" s="98"/>
      <c r="G110" s="108">
        <f>G112+G111</f>
        <v>18479275.22</v>
      </c>
      <c r="H110" s="108">
        <f>H112+H111</f>
        <v>0</v>
      </c>
      <c r="I110" s="108">
        <f>I112+I111</f>
        <v>0</v>
      </c>
    </row>
    <row r="111" spans="1:9" s="140" customFormat="1" ht="16.5">
      <c r="A111" s="48" t="s">
        <v>196</v>
      </c>
      <c r="B111" s="101">
        <v>701</v>
      </c>
      <c r="C111" s="107" t="s">
        <v>322</v>
      </c>
      <c r="D111" s="107" t="s">
        <v>351</v>
      </c>
      <c r="E111" s="112" t="s">
        <v>332</v>
      </c>
      <c r="F111" s="98">
        <v>300</v>
      </c>
      <c r="G111" s="108">
        <f>'Приложение 4'!F110</f>
        <v>460000</v>
      </c>
      <c r="H111" s="108">
        <f>'Приложение 4'!G110</f>
        <v>0</v>
      </c>
      <c r="I111" s="108">
        <f>'Приложение 4'!H110</f>
        <v>0</v>
      </c>
    </row>
    <row r="112" spans="1:9" s="140" customFormat="1" ht="16.5">
      <c r="A112" s="46" t="s">
        <v>197</v>
      </c>
      <c r="B112" s="101">
        <v>701</v>
      </c>
      <c r="C112" s="107" t="s">
        <v>322</v>
      </c>
      <c r="D112" s="107" t="s">
        <v>351</v>
      </c>
      <c r="E112" s="112" t="s">
        <v>332</v>
      </c>
      <c r="F112" s="98">
        <v>800</v>
      </c>
      <c r="G112" s="108">
        <f>'Приложение 4'!F111</f>
        <v>18019275.22</v>
      </c>
      <c r="H112" s="108">
        <f>'Приложение 4'!G111</f>
        <v>0</v>
      </c>
      <c r="I112" s="108">
        <f>'Приложение 4'!H111</f>
        <v>0</v>
      </c>
    </row>
    <row r="113" spans="1:9" s="140" customFormat="1" ht="16.5">
      <c r="A113" s="66" t="s">
        <v>402</v>
      </c>
      <c r="B113" s="101">
        <v>701</v>
      </c>
      <c r="C113" s="105" t="s">
        <v>322</v>
      </c>
      <c r="D113" s="105" t="s">
        <v>369</v>
      </c>
      <c r="E113" s="101"/>
      <c r="F113" s="101"/>
      <c r="G113" s="106">
        <f>G114</f>
        <v>19720000</v>
      </c>
      <c r="H113" s="106">
        <f>H114</f>
        <v>17150000</v>
      </c>
      <c r="I113" s="106">
        <f>I114</f>
        <v>17150000</v>
      </c>
    </row>
    <row r="114" spans="1:9" s="140" customFormat="1" ht="33.75">
      <c r="A114" s="66" t="s">
        <v>233</v>
      </c>
      <c r="B114" s="101">
        <v>701</v>
      </c>
      <c r="C114" s="105" t="s">
        <v>322</v>
      </c>
      <c r="D114" s="105" t="s">
        <v>369</v>
      </c>
      <c r="E114" s="141" t="s">
        <v>234</v>
      </c>
      <c r="F114" s="101"/>
      <c r="G114" s="106">
        <f>G115+G117</f>
        <v>19720000</v>
      </c>
      <c r="H114" s="106">
        <f>H115+H117</f>
        <v>17150000</v>
      </c>
      <c r="I114" s="106">
        <f>I115+I117</f>
        <v>17150000</v>
      </c>
    </row>
    <row r="115" spans="1:9" s="140" customFormat="1" ht="16.5">
      <c r="A115" s="46" t="s">
        <v>235</v>
      </c>
      <c r="B115" s="101">
        <v>701</v>
      </c>
      <c r="C115" s="107" t="s">
        <v>322</v>
      </c>
      <c r="D115" s="107" t="s">
        <v>369</v>
      </c>
      <c r="E115" s="142" t="s">
        <v>236</v>
      </c>
      <c r="F115" s="98"/>
      <c r="G115" s="108">
        <f>G116</f>
        <v>2000000</v>
      </c>
      <c r="H115" s="108">
        <f>H116</f>
        <v>4000000</v>
      </c>
      <c r="I115" s="108">
        <f>I116</f>
        <v>4000000</v>
      </c>
    </row>
    <row r="116" spans="1:9" s="140" customFormat="1" ht="33.75">
      <c r="A116" s="48" t="s">
        <v>195</v>
      </c>
      <c r="B116" s="101">
        <v>701</v>
      </c>
      <c r="C116" s="107" t="s">
        <v>322</v>
      </c>
      <c r="D116" s="107" t="s">
        <v>369</v>
      </c>
      <c r="E116" s="142" t="s">
        <v>236</v>
      </c>
      <c r="F116" s="98">
        <v>800</v>
      </c>
      <c r="G116" s="108">
        <f>'Приложение 4'!F115</f>
        <v>2000000</v>
      </c>
      <c r="H116" s="108">
        <f>'Приложение 4'!G115</f>
        <v>4000000</v>
      </c>
      <c r="I116" s="108">
        <f>'Приложение 4'!H115</f>
        <v>4000000</v>
      </c>
    </row>
    <row r="117" spans="1:9" s="140" customFormat="1" ht="16.5">
      <c r="A117" s="46" t="s">
        <v>237</v>
      </c>
      <c r="B117" s="101">
        <v>701</v>
      </c>
      <c r="C117" s="107" t="s">
        <v>322</v>
      </c>
      <c r="D117" s="107" t="s">
        <v>369</v>
      </c>
      <c r="E117" s="142" t="s">
        <v>238</v>
      </c>
      <c r="F117" s="98"/>
      <c r="G117" s="108">
        <f>G118+G119</f>
        <v>17720000</v>
      </c>
      <c r="H117" s="108">
        <f>H118+H119</f>
        <v>13150000</v>
      </c>
      <c r="I117" s="108">
        <f>I118+I119</f>
        <v>13150000</v>
      </c>
    </row>
    <row r="118" spans="1:9" s="140" customFormat="1" ht="33.75">
      <c r="A118" s="48" t="s">
        <v>195</v>
      </c>
      <c r="B118" s="101">
        <v>701</v>
      </c>
      <c r="C118" s="107" t="s">
        <v>322</v>
      </c>
      <c r="D118" s="107" t="s">
        <v>369</v>
      </c>
      <c r="E118" s="142" t="s">
        <v>238</v>
      </c>
      <c r="F118" s="98">
        <v>200</v>
      </c>
      <c r="G118" s="108">
        <f>'Приложение 4'!F117</f>
        <v>0</v>
      </c>
      <c r="H118" s="108">
        <f>'Приложение 4'!G117</f>
        <v>150000</v>
      </c>
      <c r="I118" s="108">
        <f>'Приложение 4'!H117</f>
        <v>150000</v>
      </c>
    </row>
    <row r="119" spans="1:9" s="140" customFormat="1" ht="16.5">
      <c r="A119" s="46" t="s">
        <v>197</v>
      </c>
      <c r="B119" s="101">
        <v>701</v>
      </c>
      <c r="C119" s="107" t="s">
        <v>322</v>
      </c>
      <c r="D119" s="107" t="s">
        <v>369</v>
      </c>
      <c r="E119" s="142" t="s">
        <v>238</v>
      </c>
      <c r="F119" s="98">
        <v>800</v>
      </c>
      <c r="G119" s="108">
        <f>'Приложение 4'!F118</f>
        <v>17720000</v>
      </c>
      <c r="H119" s="108">
        <f>'Приложение 4'!G118</f>
        <v>13000000</v>
      </c>
      <c r="I119" s="108">
        <f>'Приложение 4'!H118</f>
        <v>13000000</v>
      </c>
    </row>
    <row r="120" spans="1:9" s="140" customFormat="1" ht="16.5">
      <c r="A120" s="66" t="s">
        <v>403</v>
      </c>
      <c r="B120" s="101">
        <v>701</v>
      </c>
      <c r="C120" s="105" t="s">
        <v>322</v>
      </c>
      <c r="D120" s="105" t="s">
        <v>367</v>
      </c>
      <c r="E120" s="101"/>
      <c r="F120" s="101"/>
      <c r="G120" s="106">
        <f aca="true" t="shared" si="10" ref="G120:I122">G121</f>
        <v>123276266.25999998</v>
      </c>
      <c r="H120" s="106">
        <f t="shared" si="10"/>
        <v>15455434.5</v>
      </c>
      <c r="I120" s="106">
        <f t="shared" si="10"/>
        <v>15455434.5</v>
      </c>
    </row>
    <row r="121" spans="1:9" s="140" customFormat="1" ht="33.75">
      <c r="A121" s="66" t="s">
        <v>233</v>
      </c>
      <c r="B121" s="101">
        <v>701</v>
      </c>
      <c r="C121" s="105" t="s">
        <v>322</v>
      </c>
      <c r="D121" s="105" t="s">
        <v>367</v>
      </c>
      <c r="E121" s="141" t="s">
        <v>234</v>
      </c>
      <c r="F121" s="101"/>
      <c r="G121" s="106">
        <f t="shared" si="10"/>
        <v>123276266.25999998</v>
      </c>
      <c r="H121" s="106">
        <f t="shared" si="10"/>
        <v>15455434.5</v>
      </c>
      <c r="I121" s="106">
        <f t="shared" si="10"/>
        <v>15455434.5</v>
      </c>
    </row>
    <row r="122" spans="1:9" s="138" customFormat="1" ht="16.5">
      <c r="A122" s="46" t="s">
        <v>239</v>
      </c>
      <c r="B122" s="101">
        <v>701</v>
      </c>
      <c r="C122" s="107" t="s">
        <v>322</v>
      </c>
      <c r="D122" s="107" t="s">
        <v>367</v>
      </c>
      <c r="E122" s="142" t="s">
        <v>240</v>
      </c>
      <c r="F122" s="98"/>
      <c r="G122" s="108">
        <f t="shared" si="10"/>
        <v>123276266.25999998</v>
      </c>
      <c r="H122" s="108">
        <f t="shared" si="10"/>
        <v>15455434.5</v>
      </c>
      <c r="I122" s="108">
        <f t="shared" si="10"/>
        <v>15455434.5</v>
      </c>
    </row>
    <row r="123" spans="1:9" s="140" customFormat="1" ht="33.75">
      <c r="A123" s="48" t="s">
        <v>195</v>
      </c>
      <c r="B123" s="101">
        <v>701</v>
      </c>
      <c r="C123" s="107" t="s">
        <v>322</v>
      </c>
      <c r="D123" s="107" t="s">
        <v>367</v>
      </c>
      <c r="E123" s="142" t="s">
        <v>240</v>
      </c>
      <c r="F123" s="98">
        <v>200</v>
      </c>
      <c r="G123" s="108">
        <f>'Приложение 4'!F122</f>
        <v>123276266.25999998</v>
      </c>
      <c r="H123" s="108">
        <f>'Приложение 4'!G122</f>
        <v>15455434.5</v>
      </c>
      <c r="I123" s="108">
        <f>'Приложение 4'!H122</f>
        <v>15455434.5</v>
      </c>
    </row>
    <row r="124" spans="1:9" s="140" customFormat="1" ht="16.5">
      <c r="A124" s="70" t="s">
        <v>353</v>
      </c>
      <c r="B124" s="101">
        <v>701</v>
      </c>
      <c r="C124" s="105" t="s">
        <v>322</v>
      </c>
      <c r="D124" s="105" t="s">
        <v>345</v>
      </c>
      <c r="E124" s="113"/>
      <c r="F124" s="101"/>
      <c r="G124" s="106">
        <f>G125</f>
        <v>14000000</v>
      </c>
      <c r="H124" s="106">
        <f aca="true" t="shared" si="11" ref="H124:I126">H125</f>
        <v>0</v>
      </c>
      <c r="I124" s="106">
        <f t="shared" si="11"/>
        <v>0</v>
      </c>
    </row>
    <row r="125" spans="1:9" s="140" customFormat="1" ht="16.5">
      <c r="A125" s="70" t="s">
        <v>311</v>
      </c>
      <c r="B125" s="101">
        <v>701</v>
      </c>
      <c r="C125" s="105" t="s">
        <v>322</v>
      </c>
      <c r="D125" s="105" t="s">
        <v>345</v>
      </c>
      <c r="E125" s="113" t="s">
        <v>312</v>
      </c>
      <c r="F125" s="101"/>
      <c r="G125" s="106">
        <f>G126</f>
        <v>14000000</v>
      </c>
      <c r="H125" s="106">
        <f t="shared" si="11"/>
        <v>0</v>
      </c>
      <c r="I125" s="106">
        <f t="shared" si="11"/>
        <v>0</v>
      </c>
    </row>
    <row r="126" spans="1:9" s="140" customFormat="1" ht="16.5">
      <c r="A126" s="70" t="s">
        <v>331</v>
      </c>
      <c r="B126" s="101">
        <v>701</v>
      </c>
      <c r="C126" s="107" t="s">
        <v>322</v>
      </c>
      <c r="D126" s="107" t="s">
        <v>345</v>
      </c>
      <c r="E126" s="112" t="s">
        <v>332</v>
      </c>
      <c r="F126" s="98"/>
      <c r="G126" s="108">
        <f>G127</f>
        <v>14000000</v>
      </c>
      <c r="H126" s="108">
        <f t="shared" si="11"/>
        <v>0</v>
      </c>
      <c r="I126" s="108">
        <f t="shared" si="11"/>
        <v>0</v>
      </c>
    </row>
    <row r="127" spans="1:9" s="140" customFormat="1" ht="33.75">
      <c r="A127" s="48" t="s">
        <v>195</v>
      </c>
      <c r="B127" s="101">
        <v>701</v>
      </c>
      <c r="C127" s="107" t="s">
        <v>322</v>
      </c>
      <c r="D127" s="107" t="s">
        <v>345</v>
      </c>
      <c r="E127" s="112" t="s">
        <v>332</v>
      </c>
      <c r="F127" s="98">
        <v>200</v>
      </c>
      <c r="G127" s="108">
        <f>'Приложение 4'!F126</f>
        <v>14000000</v>
      </c>
      <c r="H127" s="108">
        <f>'Приложение 4'!G126</f>
        <v>0</v>
      </c>
      <c r="I127" s="108">
        <f>'Приложение 4'!H126</f>
        <v>0</v>
      </c>
    </row>
    <row r="128" spans="1:9" s="140" customFormat="1" ht="16.5">
      <c r="A128" s="66" t="s">
        <v>404</v>
      </c>
      <c r="B128" s="101">
        <v>701</v>
      </c>
      <c r="C128" s="105" t="s">
        <v>322</v>
      </c>
      <c r="D128" s="105" t="s">
        <v>405</v>
      </c>
      <c r="E128" s="101"/>
      <c r="F128" s="101"/>
      <c r="G128" s="106">
        <f>G129+G134</f>
        <v>11281440</v>
      </c>
      <c r="H128" s="106">
        <f>H129+H134</f>
        <v>4716760</v>
      </c>
      <c r="I128" s="106">
        <f>I129+I134</f>
        <v>4716760</v>
      </c>
    </row>
    <row r="129" spans="1:11" s="138" customFormat="1" ht="16.5">
      <c r="A129" s="66" t="s">
        <v>221</v>
      </c>
      <c r="B129" s="101">
        <v>701</v>
      </c>
      <c r="C129" s="105" t="s">
        <v>322</v>
      </c>
      <c r="D129" s="105" t="s">
        <v>405</v>
      </c>
      <c r="E129" s="141" t="s">
        <v>222</v>
      </c>
      <c r="F129" s="101"/>
      <c r="G129" s="106">
        <f>G130</f>
        <v>4201440</v>
      </c>
      <c r="H129" s="106">
        <f>H130</f>
        <v>4716760</v>
      </c>
      <c r="I129" s="106">
        <f>I130</f>
        <v>4716760</v>
      </c>
      <c r="J129" s="140"/>
      <c r="K129" s="140"/>
    </row>
    <row r="130" spans="1:11" s="138" customFormat="1" ht="16.5">
      <c r="A130" s="46" t="s">
        <v>406</v>
      </c>
      <c r="B130" s="101">
        <v>701</v>
      </c>
      <c r="C130" s="107" t="s">
        <v>322</v>
      </c>
      <c r="D130" s="107" t="s">
        <v>405</v>
      </c>
      <c r="E130" s="142" t="s">
        <v>224</v>
      </c>
      <c r="F130" s="98"/>
      <c r="G130" s="108">
        <f>G131+G132+G133</f>
        <v>4201440</v>
      </c>
      <c r="H130" s="108">
        <f>H131+H132+H133</f>
        <v>4716760</v>
      </c>
      <c r="I130" s="108">
        <f>I131+I132+I133</f>
        <v>4716760</v>
      </c>
      <c r="J130" s="140"/>
      <c r="K130" s="140"/>
    </row>
    <row r="131" spans="1:11" s="138" customFormat="1" ht="33.75">
      <c r="A131" s="46" t="s">
        <v>195</v>
      </c>
      <c r="B131" s="101">
        <v>701</v>
      </c>
      <c r="C131" s="107" t="s">
        <v>322</v>
      </c>
      <c r="D131" s="107" t="s">
        <v>405</v>
      </c>
      <c r="E131" s="142" t="s">
        <v>224</v>
      </c>
      <c r="F131" s="98">
        <v>200</v>
      </c>
      <c r="G131" s="108">
        <v>0</v>
      </c>
      <c r="H131" s="108">
        <v>0</v>
      </c>
      <c r="I131" s="108">
        <v>0</v>
      </c>
      <c r="J131" s="140"/>
      <c r="K131" s="140"/>
    </row>
    <row r="132" spans="1:11" s="138" customFormat="1" ht="16.5">
      <c r="A132" s="48" t="s">
        <v>196</v>
      </c>
      <c r="B132" s="101">
        <v>701</v>
      </c>
      <c r="C132" s="107" t="s">
        <v>322</v>
      </c>
      <c r="D132" s="107" t="s">
        <v>405</v>
      </c>
      <c r="E132" s="142" t="s">
        <v>224</v>
      </c>
      <c r="F132" s="98">
        <v>300</v>
      </c>
      <c r="G132" s="108">
        <f>'Приложение 4'!F131</f>
        <v>0</v>
      </c>
      <c r="H132" s="108">
        <f>'Приложение 4'!G131</f>
        <v>416760</v>
      </c>
      <c r="I132" s="108">
        <f>'Приложение 4'!H131</f>
        <v>416760</v>
      </c>
      <c r="J132" s="140"/>
      <c r="K132" s="140"/>
    </row>
    <row r="133" spans="1:11" s="138" customFormat="1" ht="16.5">
      <c r="A133" s="46" t="s">
        <v>197</v>
      </c>
      <c r="B133" s="101">
        <v>701</v>
      </c>
      <c r="C133" s="107" t="s">
        <v>322</v>
      </c>
      <c r="D133" s="107" t="s">
        <v>405</v>
      </c>
      <c r="E133" s="142" t="s">
        <v>224</v>
      </c>
      <c r="F133" s="98">
        <v>800</v>
      </c>
      <c r="G133" s="108">
        <f>'Приложение 4'!F132</f>
        <v>4201440</v>
      </c>
      <c r="H133" s="108">
        <f>'Приложение 4'!G132</f>
        <v>4300000</v>
      </c>
      <c r="I133" s="108">
        <f>'Приложение 4'!H132</f>
        <v>4300000</v>
      </c>
      <c r="J133" s="140"/>
      <c r="K133" s="140"/>
    </row>
    <row r="134" spans="1:11" s="138" customFormat="1" ht="16.5">
      <c r="A134" s="70" t="s">
        <v>311</v>
      </c>
      <c r="B134" s="101">
        <v>701</v>
      </c>
      <c r="C134" s="105" t="s">
        <v>322</v>
      </c>
      <c r="D134" s="105" t="s">
        <v>405</v>
      </c>
      <c r="E134" s="113" t="s">
        <v>312</v>
      </c>
      <c r="F134" s="98"/>
      <c r="G134" s="106">
        <f>G135</f>
        <v>7080000</v>
      </c>
      <c r="H134" s="106">
        <f>H135</f>
        <v>0</v>
      </c>
      <c r="I134" s="106">
        <f>I135</f>
        <v>0</v>
      </c>
      <c r="J134" s="140"/>
      <c r="K134" s="140"/>
    </row>
    <row r="135" spans="1:11" s="138" customFormat="1" ht="16.5">
      <c r="A135" s="48" t="s">
        <v>331</v>
      </c>
      <c r="B135" s="101">
        <v>701</v>
      </c>
      <c r="C135" s="107" t="s">
        <v>322</v>
      </c>
      <c r="D135" s="107" t="s">
        <v>405</v>
      </c>
      <c r="E135" s="112" t="s">
        <v>332</v>
      </c>
      <c r="F135" s="98"/>
      <c r="G135" s="108">
        <f>G136</f>
        <v>7080000</v>
      </c>
      <c r="H135" s="108">
        <f>H136</f>
        <v>0</v>
      </c>
      <c r="I135" s="108">
        <f>I136</f>
        <v>0</v>
      </c>
      <c r="J135" s="140"/>
      <c r="K135" s="140"/>
    </row>
    <row r="136" spans="1:11" s="138" customFormat="1" ht="16.5">
      <c r="A136" s="46" t="s">
        <v>197</v>
      </c>
      <c r="B136" s="101">
        <v>701</v>
      </c>
      <c r="C136" s="107" t="s">
        <v>322</v>
      </c>
      <c r="D136" s="107" t="s">
        <v>405</v>
      </c>
      <c r="E136" s="112" t="s">
        <v>332</v>
      </c>
      <c r="F136" s="98">
        <v>800</v>
      </c>
      <c r="G136" s="108">
        <f>'Приложение 4'!F135</f>
        <v>7080000</v>
      </c>
      <c r="H136" s="108">
        <f>'Приложение 4'!G135</f>
        <v>0</v>
      </c>
      <c r="I136" s="108">
        <f>'Приложение 4'!H135</f>
        <v>0</v>
      </c>
      <c r="J136" s="140"/>
      <c r="K136" s="140"/>
    </row>
    <row r="137" spans="1:11" s="138" customFormat="1" ht="16.5">
      <c r="A137" s="70" t="s">
        <v>354</v>
      </c>
      <c r="B137" s="101">
        <v>701</v>
      </c>
      <c r="C137" s="105" t="s">
        <v>351</v>
      </c>
      <c r="D137" s="105"/>
      <c r="E137" s="141"/>
      <c r="F137" s="101"/>
      <c r="G137" s="106">
        <f>G143+G138</f>
        <v>9810436.8</v>
      </c>
      <c r="H137" s="106">
        <f>H143+H138</f>
        <v>0</v>
      </c>
      <c r="I137" s="106">
        <f>I143+I138</f>
        <v>0</v>
      </c>
      <c r="J137" s="140"/>
      <c r="K137" s="140"/>
    </row>
    <row r="138" spans="1:11" s="138" customFormat="1" ht="16.5" hidden="1">
      <c r="A138" s="70" t="s">
        <v>355</v>
      </c>
      <c r="B138" s="101">
        <v>701</v>
      </c>
      <c r="C138" s="105" t="s">
        <v>351</v>
      </c>
      <c r="D138" s="105" t="s">
        <v>308</v>
      </c>
      <c r="E138" s="113"/>
      <c r="F138" s="101"/>
      <c r="G138" s="106">
        <f aca="true" t="shared" si="12" ref="G138:I139">G139</f>
        <v>0</v>
      </c>
      <c r="H138" s="106">
        <f t="shared" si="12"/>
        <v>0</v>
      </c>
      <c r="I138" s="106">
        <f t="shared" si="12"/>
        <v>0</v>
      </c>
      <c r="J138" s="140"/>
      <c r="K138" s="140"/>
    </row>
    <row r="139" spans="1:11" s="138" customFormat="1" ht="16.5" hidden="1">
      <c r="A139" s="70" t="s">
        <v>311</v>
      </c>
      <c r="B139" s="101">
        <v>701</v>
      </c>
      <c r="C139" s="105" t="s">
        <v>351</v>
      </c>
      <c r="D139" s="105" t="s">
        <v>308</v>
      </c>
      <c r="E139" s="113" t="s">
        <v>312</v>
      </c>
      <c r="F139" s="101"/>
      <c r="G139" s="106">
        <f t="shared" si="12"/>
        <v>0</v>
      </c>
      <c r="H139" s="106">
        <f t="shared" si="12"/>
        <v>0</v>
      </c>
      <c r="I139" s="106">
        <f t="shared" si="12"/>
        <v>0</v>
      </c>
      <c r="J139" s="140"/>
      <c r="K139" s="140"/>
    </row>
    <row r="140" spans="1:11" s="138" customFormat="1" ht="16.5" hidden="1">
      <c r="A140" s="48" t="s">
        <v>331</v>
      </c>
      <c r="B140" s="101">
        <v>701</v>
      </c>
      <c r="C140" s="107" t="s">
        <v>351</v>
      </c>
      <c r="D140" s="107" t="s">
        <v>308</v>
      </c>
      <c r="E140" s="112" t="s">
        <v>332</v>
      </c>
      <c r="F140" s="98"/>
      <c r="G140" s="108">
        <f>G141+G142</f>
        <v>0</v>
      </c>
      <c r="H140" s="108">
        <f>H141+H142</f>
        <v>0</v>
      </c>
      <c r="I140" s="108">
        <f>I141+I142</f>
        <v>0</v>
      </c>
      <c r="J140" s="140"/>
      <c r="K140" s="140"/>
    </row>
    <row r="141" spans="1:11" s="138" customFormat="1" ht="33.75" hidden="1">
      <c r="A141" s="46" t="s">
        <v>195</v>
      </c>
      <c r="B141" s="101">
        <v>701</v>
      </c>
      <c r="C141" s="107" t="s">
        <v>351</v>
      </c>
      <c r="D141" s="107" t="s">
        <v>308</v>
      </c>
      <c r="E141" s="112" t="s">
        <v>332</v>
      </c>
      <c r="F141" s="98">
        <v>200</v>
      </c>
      <c r="G141" s="108">
        <f>'[1]Приложение 3'!F127</f>
        <v>0</v>
      </c>
      <c r="H141" s="108">
        <f>'[1]Приложение 3'!G127</f>
        <v>0</v>
      </c>
      <c r="I141" s="108">
        <f>'[1]Приложение 3'!H127</f>
        <v>0</v>
      </c>
      <c r="J141" s="140"/>
      <c r="K141" s="140"/>
    </row>
    <row r="142" spans="1:11" s="138" customFormat="1" ht="33.75" hidden="1">
      <c r="A142" s="46" t="s">
        <v>204</v>
      </c>
      <c r="B142" s="101">
        <v>701</v>
      </c>
      <c r="C142" s="107" t="s">
        <v>351</v>
      </c>
      <c r="D142" s="107" t="s">
        <v>308</v>
      </c>
      <c r="E142" s="112" t="s">
        <v>332</v>
      </c>
      <c r="F142" s="98">
        <v>600</v>
      </c>
      <c r="G142" s="108">
        <v>0</v>
      </c>
      <c r="H142" s="108">
        <v>0</v>
      </c>
      <c r="I142" s="108">
        <v>0</v>
      </c>
      <c r="J142" s="140"/>
      <c r="K142" s="140"/>
    </row>
    <row r="143" spans="1:11" s="138" customFormat="1" ht="16.5">
      <c r="A143" s="70" t="s">
        <v>358</v>
      </c>
      <c r="B143" s="101">
        <v>701</v>
      </c>
      <c r="C143" s="105" t="s">
        <v>351</v>
      </c>
      <c r="D143" s="105" t="s">
        <v>318</v>
      </c>
      <c r="E143" s="141"/>
      <c r="F143" s="101"/>
      <c r="G143" s="106">
        <f>G144</f>
        <v>9810436.8</v>
      </c>
      <c r="H143" s="106">
        <f aca="true" t="shared" si="13" ref="H143:I145">H144</f>
        <v>0</v>
      </c>
      <c r="I143" s="106">
        <f t="shared" si="13"/>
        <v>0</v>
      </c>
      <c r="J143" s="140"/>
      <c r="K143" s="140"/>
    </row>
    <row r="144" spans="1:11" s="138" customFormat="1" ht="16.5">
      <c r="A144" s="70" t="s">
        <v>311</v>
      </c>
      <c r="B144" s="101">
        <v>701</v>
      </c>
      <c r="C144" s="105" t="s">
        <v>351</v>
      </c>
      <c r="D144" s="105" t="s">
        <v>318</v>
      </c>
      <c r="E144" s="141" t="s">
        <v>312</v>
      </c>
      <c r="F144" s="101"/>
      <c r="G144" s="106">
        <f>G145</f>
        <v>9810436.8</v>
      </c>
      <c r="H144" s="106">
        <f t="shared" si="13"/>
        <v>0</v>
      </c>
      <c r="I144" s="106">
        <f t="shared" si="13"/>
        <v>0</v>
      </c>
      <c r="J144" s="140"/>
      <c r="K144" s="140"/>
    </row>
    <row r="145" spans="1:11" s="138" customFormat="1" ht="16.5">
      <c r="A145" s="48" t="s">
        <v>331</v>
      </c>
      <c r="B145" s="101">
        <v>701</v>
      </c>
      <c r="C145" s="107" t="s">
        <v>351</v>
      </c>
      <c r="D145" s="107" t="s">
        <v>318</v>
      </c>
      <c r="E145" s="142" t="s">
        <v>332</v>
      </c>
      <c r="F145" s="98"/>
      <c r="G145" s="108">
        <f>G146</f>
        <v>9810436.8</v>
      </c>
      <c r="H145" s="108">
        <f t="shared" si="13"/>
        <v>0</v>
      </c>
      <c r="I145" s="108">
        <f t="shared" si="13"/>
        <v>0</v>
      </c>
      <c r="J145" s="140"/>
      <c r="K145" s="140"/>
    </row>
    <row r="146" spans="1:11" s="138" customFormat="1" ht="33.75">
      <c r="A146" s="48" t="s">
        <v>220</v>
      </c>
      <c r="B146" s="101">
        <v>701</v>
      </c>
      <c r="C146" s="107" t="s">
        <v>351</v>
      </c>
      <c r="D146" s="107" t="s">
        <v>318</v>
      </c>
      <c r="E146" s="142" t="s">
        <v>332</v>
      </c>
      <c r="F146" s="98">
        <v>400</v>
      </c>
      <c r="G146" s="108">
        <f>'Приложение 4'!F145</f>
        <v>9810436.8</v>
      </c>
      <c r="H146" s="108">
        <f>'Приложение 4'!G145</f>
        <v>0</v>
      </c>
      <c r="I146" s="108">
        <f>'Приложение 4'!H145</f>
        <v>0</v>
      </c>
      <c r="J146" s="140"/>
      <c r="K146" s="140"/>
    </row>
    <row r="147" spans="1:9" s="140" customFormat="1" ht="16.5">
      <c r="A147" s="66" t="s">
        <v>407</v>
      </c>
      <c r="B147" s="101">
        <v>701</v>
      </c>
      <c r="C147" s="105" t="s">
        <v>326</v>
      </c>
      <c r="D147" s="105"/>
      <c r="E147" s="101"/>
      <c r="F147" s="101"/>
      <c r="G147" s="106">
        <f aca="true" t="shared" si="14" ref="G147:I148">G148</f>
        <v>2089351.33</v>
      </c>
      <c r="H147" s="106">
        <f t="shared" si="14"/>
        <v>1440423.53</v>
      </c>
      <c r="I147" s="106">
        <f t="shared" si="14"/>
        <v>1440423.53</v>
      </c>
    </row>
    <row r="148" spans="1:9" s="140" customFormat="1" ht="33.75">
      <c r="A148" s="70" t="s">
        <v>408</v>
      </c>
      <c r="B148" s="101">
        <v>701</v>
      </c>
      <c r="C148" s="105" t="s">
        <v>326</v>
      </c>
      <c r="D148" s="105" t="s">
        <v>318</v>
      </c>
      <c r="E148" s="141"/>
      <c r="F148" s="101"/>
      <c r="G148" s="106">
        <f t="shared" si="14"/>
        <v>2089351.33</v>
      </c>
      <c r="H148" s="106">
        <f t="shared" si="14"/>
        <v>1440423.53</v>
      </c>
      <c r="I148" s="106">
        <f t="shared" si="14"/>
        <v>1440423.53</v>
      </c>
    </row>
    <row r="149" spans="1:9" s="140" customFormat="1" ht="33.75">
      <c r="A149" s="66" t="s">
        <v>409</v>
      </c>
      <c r="B149" s="101">
        <v>701</v>
      </c>
      <c r="C149" s="105" t="s">
        <v>326</v>
      </c>
      <c r="D149" s="105" t="s">
        <v>318</v>
      </c>
      <c r="E149" s="143">
        <v>2900000000</v>
      </c>
      <c r="F149" s="144"/>
      <c r="G149" s="106">
        <f>G150+G152+G154</f>
        <v>2089351.33</v>
      </c>
      <c r="H149" s="106">
        <f>H150+H152+H154</f>
        <v>1440423.53</v>
      </c>
      <c r="I149" s="106">
        <f>I150+I152+I154</f>
        <v>1440423.53</v>
      </c>
    </row>
    <row r="150" spans="1:9" s="140" customFormat="1" ht="33.75">
      <c r="A150" s="46" t="s">
        <v>289</v>
      </c>
      <c r="B150" s="101">
        <v>701</v>
      </c>
      <c r="C150" s="107" t="s">
        <v>326</v>
      </c>
      <c r="D150" s="107" t="s">
        <v>318</v>
      </c>
      <c r="E150" s="125">
        <v>2930000000</v>
      </c>
      <c r="F150" s="145"/>
      <c r="G150" s="108">
        <f>SUM(G151:G151)</f>
        <v>1820351.33</v>
      </c>
      <c r="H150" s="108">
        <f>SUM(H151:H151)</f>
        <v>1162190.53</v>
      </c>
      <c r="I150" s="108">
        <f>SUM(I151:I151)</f>
        <v>1162190.53</v>
      </c>
    </row>
    <row r="151" spans="1:9" s="140" customFormat="1" ht="33.75">
      <c r="A151" s="46" t="s">
        <v>195</v>
      </c>
      <c r="B151" s="101">
        <v>701</v>
      </c>
      <c r="C151" s="107" t="s">
        <v>326</v>
      </c>
      <c r="D151" s="107" t="s">
        <v>318</v>
      </c>
      <c r="E151" s="125">
        <v>2930000000</v>
      </c>
      <c r="F151" s="145">
        <v>200</v>
      </c>
      <c r="G151" s="108">
        <f>'Приложение 4'!F150</f>
        <v>1820351.33</v>
      </c>
      <c r="H151" s="108">
        <f>'Приложение 4'!G150</f>
        <v>1162190.53</v>
      </c>
      <c r="I151" s="108">
        <f>'Приложение 4'!H150</f>
        <v>1162190.53</v>
      </c>
    </row>
    <row r="152" spans="1:9" s="138" customFormat="1" ht="33.75" hidden="1">
      <c r="A152" s="146" t="s">
        <v>410</v>
      </c>
      <c r="B152" s="101">
        <v>701</v>
      </c>
      <c r="C152" s="107" t="s">
        <v>326</v>
      </c>
      <c r="D152" s="107" t="s">
        <v>318</v>
      </c>
      <c r="E152" s="125">
        <v>2940000000</v>
      </c>
      <c r="F152" s="145"/>
      <c r="G152" s="108">
        <f>G153</f>
        <v>0</v>
      </c>
      <c r="H152" s="108">
        <f>H153</f>
        <v>0</v>
      </c>
      <c r="I152" s="108">
        <f>I153</f>
        <v>0</v>
      </c>
    </row>
    <row r="153" spans="1:9" s="140" customFormat="1" ht="33.75" hidden="1">
      <c r="A153" s="48" t="s">
        <v>195</v>
      </c>
      <c r="B153" s="101">
        <v>701</v>
      </c>
      <c r="C153" s="107" t="s">
        <v>326</v>
      </c>
      <c r="D153" s="107" t="s">
        <v>318</v>
      </c>
      <c r="E153" s="125">
        <v>2940000000</v>
      </c>
      <c r="F153" s="125">
        <v>200</v>
      </c>
      <c r="G153" s="108">
        <v>0</v>
      </c>
      <c r="H153" s="108">
        <v>0</v>
      </c>
      <c r="I153" s="108">
        <v>0</v>
      </c>
    </row>
    <row r="154" spans="1:9" s="138" customFormat="1" ht="33.75">
      <c r="A154" s="46" t="s">
        <v>290</v>
      </c>
      <c r="B154" s="101">
        <v>701</v>
      </c>
      <c r="C154" s="107" t="s">
        <v>326</v>
      </c>
      <c r="D154" s="107" t="s">
        <v>318</v>
      </c>
      <c r="E154" s="125">
        <v>2970000000</v>
      </c>
      <c r="F154" s="125"/>
      <c r="G154" s="108">
        <f>G155</f>
        <v>269000</v>
      </c>
      <c r="H154" s="108">
        <f>H155</f>
        <v>278233</v>
      </c>
      <c r="I154" s="108">
        <f>I155</f>
        <v>278233</v>
      </c>
    </row>
    <row r="155" spans="1:9" s="140" customFormat="1" ht="33.75">
      <c r="A155" s="48" t="s">
        <v>195</v>
      </c>
      <c r="B155" s="101">
        <v>701</v>
      </c>
      <c r="C155" s="107" t="s">
        <v>326</v>
      </c>
      <c r="D155" s="107" t="s">
        <v>318</v>
      </c>
      <c r="E155" s="125">
        <v>2970000000</v>
      </c>
      <c r="F155" s="125">
        <v>200</v>
      </c>
      <c r="G155" s="108">
        <f>+'Приложение 4'!F154</f>
        <v>269000</v>
      </c>
      <c r="H155" s="108">
        <f>+'Приложение 4'!G154</f>
        <v>278233</v>
      </c>
      <c r="I155" s="108">
        <f>+'Приложение 4'!H154</f>
        <v>278233</v>
      </c>
    </row>
    <row r="156" spans="1:9" s="140" customFormat="1" ht="16.5">
      <c r="A156" s="66" t="s">
        <v>361</v>
      </c>
      <c r="B156" s="101">
        <v>701</v>
      </c>
      <c r="C156" s="105" t="s">
        <v>362</v>
      </c>
      <c r="D156" s="105"/>
      <c r="E156" s="101"/>
      <c r="F156" s="101"/>
      <c r="G156" s="106">
        <f>G157+G168+G202+G225+G184</f>
        <v>1366717498.8200002</v>
      </c>
      <c r="H156" s="106">
        <f>H157+H168+H202+H225+H184</f>
        <v>1099171680.7299998</v>
      </c>
      <c r="I156" s="106">
        <f>I157+I168+I202+I225+I184</f>
        <v>1101696595.06</v>
      </c>
    </row>
    <row r="157" spans="1:9" s="140" customFormat="1" ht="16.5">
      <c r="A157" s="66" t="s">
        <v>363</v>
      </c>
      <c r="B157" s="101">
        <v>701</v>
      </c>
      <c r="C157" s="105" t="s">
        <v>362</v>
      </c>
      <c r="D157" s="105" t="s">
        <v>308</v>
      </c>
      <c r="E157" s="101"/>
      <c r="F157" s="101"/>
      <c r="G157" s="106">
        <f>G158+G164</f>
        <v>326072391.49</v>
      </c>
      <c r="H157" s="106">
        <f>H158+H164</f>
        <v>333576586.28</v>
      </c>
      <c r="I157" s="106">
        <f>I158+I164</f>
        <v>333576586.28</v>
      </c>
    </row>
    <row r="158" spans="1:9" s="147" customFormat="1" ht="16.5">
      <c r="A158" s="66" t="s">
        <v>190</v>
      </c>
      <c r="B158" s="101">
        <v>701</v>
      </c>
      <c r="C158" s="105" t="s">
        <v>362</v>
      </c>
      <c r="D158" s="105" t="s">
        <v>308</v>
      </c>
      <c r="E158" s="141" t="s">
        <v>191</v>
      </c>
      <c r="F158" s="101"/>
      <c r="G158" s="106">
        <f>G159</f>
        <v>314117227.49</v>
      </c>
      <c r="H158" s="106">
        <f>H159</f>
        <v>333576586.28</v>
      </c>
      <c r="I158" s="106">
        <f>I159</f>
        <v>333576586.28</v>
      </c>
    </row>
    <row r="159" spans="1:9" s="2" customFormat="1" ht="16.5">
      <c r="A159" s="148" t="s">
        <v>200</v>
      </c>
      <c r="B159" s="101">
        <v>701</v>
      </c>
      <c r="C159" s="107" t="s">
        <v>362</v>
      </c>
      <c r="D159" s="107" t="s">
        <v>308</v>
      </c>
      <c r="E159" s="142" t="s">
        <v>201</v>
      </c>
      <c r="F159" s="98"/>
      <c r="G159" s="108">
        <f>SUM(G160:G163)</f>
        <v>314117227.49</v>
      </c>
      <c r="H159" s="108">
        <f>SUM(H160:H163)</f>
        <v>333576586.28</v>
      </c>
      <c r="I159" s="108">
        <f>SUM(I160:I163)</f>
        <v>333576586.28</v>
      </c>
    </row>
    <row r="160" spans="1:9" s="147" customFormat="1" ht="67.5">
      <c r="A160" s="46" t="s">
        <v>194</v>
      </c>
      <c r="B160" s="101">
        <v>701</v>
      </c>
      <c r="C160" s="107" t="s">
        <v>362</v>
      </c>
      <c r="D160" s="107" t="s">
        <v>308</v>
      </c>
      <c r="E160" s="142" t="s">
        <v>201</v>
      </c>
      <c r="F160" s="98">
        <v>100</v>
      </c>
      <c r="G160" s="108">
        <f>'Приложение 4'!F159</f>
        <v>156748542.81999996</v>
      </c>
      <c r="H160" s="108">
        <f>'Приложение 4'!G159</f>
        <v>160572845.09</v>
      </c>
      <c r="I160" s="108">
        <f>'Приложение 4'!H159</f>
        <v>160572845.09</v>
      </c>
    </row>
    <row r="161" spans="1:9" s="147" customFormat="1" ht="33.75">
      <c r="A161" s="48" t="s">
        <v>195</v>
      </c>
      <c r="B161" s="101">
        <v>701</v>
      </c>
      <c r="C161" s="107" t="s">
        <v>362</v>
      </c>
      <c r="D161" s="107" t="s">
        <v>308</v>
      </c>
      <c r="E161" s="142" t="s">
        <v>201</v>
      </c>
      <c r="F161" s="98">
        <v>200</v>
      </c>
      <c r="G161" s="108">
        <f>'Приложение 4'!F160</f>
        <v>152745315.76000005</v>
      </c>
      <c r="H161" s="108">
        <f>'Приложение 4'!G160</f>
        <v>164469540.19</v>
      </c>
      <c r="I161" s="108">
        <f>'Приложение 4'!H160</f>
        <v>164469540.19</v>
      </c>
    </row>
    <row r="162" spans="1:9" s="147" customFormat="1" ht="16.5">
      <c r="A162" s="48" t="s">
        <v>196</v>
      </c>
      <c r="B162" s="101">
        <v>701</v>
      </c>
      <c r="C162" s="107" t="s">
        <v>362</v>
      </c>
      <c r="D162" s="107" t="s">
        <v>308</v>
      </c>
      <c r="E162" s="142" t="s">
        <v>201</v>
      </c>
      <c r="F162" s="98">
        <v>300</v>
      </c>
      <c r="G162" s="108">
        <f>'Приложение 4'!F161</f>
        <v>484157.76</v>
      </c>
      <c r="H162" s="108">
        <f>'Приложение 4'!G161</f>
        <v>0</v>
      </c>
      <c r="I162" s="108">
        <f>'Приложение 4'!H161</f>
        <v>0</v>
      </c>
    </row>
    <row r="163" spans="1:9" s="140" customFormat="1" ht="16.5">
      <c r="A163" s="46" t="s">
        <v>197</v>
      </c>
      <c r="B163" s="101">
        <v>701</v>
      </c>
      <c r="C163" s="107" t="s">
        <v>362</v>
      </c>
      <c r="D163" s="107" t="s">
        <v>308</v>
      </c>
      <c r="E163" s="142" t="s">
        <v>201</v>
      </c>
      <c r="F163" s="98">
        <v>800</v>
      </c>
      <c r="G163" s="108">
        <f>'Приложение 4'!F162</f>
        <v>4139211.15</v>
      </c>
      <c r="H163" s="108">
        <f>'Приложение 4'!G162</f>
        <v>8534201</v>
      </c>
      <c r="I163" s="108">
        <f>'Приложение 4'!H162</f>
        <v>8534201</v>
      </c>
    </row>
    <row r="164" spans="1:9" s="140" customFormat="1" ht="16.5">
      <c r="A164" s="70" t="s">
        <v>311</v>
      </c>
      <c r="B164" s="101">
        <v>701</v>
      </c>
      <c r="C164" s="105" t="s">
        <v>362</v>
      </c>
      <c r="D164" s="105" t="s">
        <v>308</v>
      </c>
      <c r="E164" s="113" t="s">
        <v>312</v>
      </c>
      <c r="F164" s="101"/>
      <c r="G164" s="106">
        <f>G165</f>
        <v>11955164</v>
      </c>
      <c r="H164" s="106">
        <f>H165</f>
        <v>0</v>
      </c>
      <c r="I164" s="106">
        <f>I165</f>
        <v>0</v>
      </c>
    </row>
    <row r="165" spans="1:9" s="140" customFormat="1" ht="16.5">
      <c r="A165" s="48" t="s">
        <v>331</v>
      </c>
      <c r="B165" s="101">
        <v>701</v>
      </c>
      <c r="C165" s="107" t="s">
        <v>362</v>
      </c>
      <c r="D165" s="107" t="s">
        <v>308</v>
      </c>
      <c r="E165" s="112" t="s">
        <v>332</v>
      </c>
      <c r="F165" s="98"/>
      <c r="G165" s="108">
        <f>G167+G166</f>
        <v>11955164</v>
      </c>
      <c r="H165" s="108">
        <f>H167+H166</f>
        <v>0</v>
      </c>
      <c r="I165" s="108">
        <f>I167+I166</f>
        <v>0</v>
      </c>
    </row>
    <row r="166" spans="1:9" s="140" customFormat="1" ht="33.75">
      <c r="A166" s="48" t="s">
        <v>195</v>
      </c>
      <c r="B166" s="101">
        <v>701</v>
      </c>
      <c r="C166" s="107" t="s">
        <v>362</v>
      </c>
      <c r="D166" s="107" t="s">
        <v>308</v>
      </c>
      <c r="E166" s="112" t="s">
        <v>332</v>
      </c>
      <c r="F166" s="98">
        <v>200</v>
      </c>
      <c r="G166" s="108">
        <f>'Приложение 4'!F165</f>
        <v>3772110</v>
      </c>
      <c r="H166" s="108">
        <f>'Приложение 4'!G165</f>
        <v>0</v>
      </c>
      <c r="I166" s="108">
        <f>'Приложение 4'!H165</f>
        <v>0</v>
      </c>
    </row>
    <row r="167" spans="1:9" s="140" customFormat="1" ht="16.5">
      <c r="A167" s="46" t="s">
        <v>197</v>
      </c>
      <c r="B167" s="101">
        <v>701</v>
      </c>
      <c r="C167" s="107" t="s">
        <v>362</v>
      </c>
      <c r="D167" s="107" t="s">
        <v>308</v>
      </c>
      <c r="E167" s="112" t="s">
        <v>332</v>
      </c>
      <c r="F167" s="98">
        <v>800</v>
      </c>
      <c r="G167" s="108">
        <f>'Приложение 4'!F166</f>
        <v>8183054</v>
      </c>
      <c r="H167" s="108">
        <f>'Приложение 4'!G166</f>
        <v>0</v>
      </c>
      <c r="I167" s="108">
        <f>'Приложение 4'!H166</f>
        <v>0</v>
      </c>
    </row>
    <row r="168" spans="1:9" s="140" customFormat="1" ht="16.5">
      <c r="A168" s="66" t="s">
        <v>364</v>
      </c>
      <c r="B168" s="101">
        <v>701</v>
      </c>
      <c r="C168" s="105" t="s">
        <v>362</v>
      </c>
      <c r="D168" s="105" t="s">
        <v>310</v>
      </c>
      <c r="E168" s="101"/>
      <c r="F168" s="101"/>
      <c r="G168" s="106">
        <f>G169+G176+G179</f>
        <v>527772401.94</v>
      </c>
      <c r="H168" s="106">
        <f>H169+H176+H179</f>
        <v>420442889.58</v>
      </c>
      <c r="I168" s="106">
        <f>I169+I176+I179</f>
        <v>422709839.27</v>
      </c>
    </row>
    <row r="169" spans="1:9" s="140" customFormat="1" ht="16.5">
      <c r="A169" s="66" t="s">
        <v>190</v>
      </c>
      <c r="B169" s="101">
        <v>701</v>
      </c>
      <c r="C169" s="105" t="s">
        <v>362</v>
      </c>
      <c r="D169" s="105" t="s">
        <v>310</v>
      </c>
      <c r="E169" s="141" t="s">
        <v>191</v>
      </c>
      <c r="F169" s="101"/>
      <c r="G169" s="106">
        <f>G170</f>
        <v>399240855.87</v>
      </c>
      <c r="H169" s="106">
        <f>H170</f>
        <v>420442889.58</v>
      </c>
      <c r="I169" s="106">
        <f>I170</f>
        <v>422709839.27</v>
      </c>
    </row>
    <row r="170" spans="1:9" s="140" customFormat="1" ht="16.5">
      <c r="A170" s="46" t="s">
        <v>202</v>
      </c>
      <c r="B170" s="101">
        <v>701</v>
      </c>
      <c r="C170" s="107" t="s">
        <v>362</v>
      </c>
      <c r="D170" s="107" t="s">
        <v>310</v>
      </c>
      <c r="E170" s="142" t="s">
        <v>203</v>
      </c>
      <c r="F170" s="98"/>
      <c r="G170" s="108">
        <f>G171+G172+G175+G174+G173</f>
        <v>399240855.87</v>
      </c>
      <c r="H170" s="108">
        <f>H171+H172+H175+H174+H173</f>
        <v>420442889.58</v>
      </c>
      <c r="I170" s="108">
        <f>I171+I172+I175+I174+I173</f>
        <v>422709839.27</v>
      </c>
    </row>
    <row r="171" spans="1:9" s="140" customFormat="1" ht="67.5">
      <c r="A171" s="48" t="s">
        <v>194</v>
      </c>
      <c r="B171" s="101">
        <v>701</v>
      </c>
      <c r="C171" s="107" t="s">
        <v>362</v>
      </c>
      <c r="D171" s="107" t="s">
        <v>310</v>
      </c>
      <c r="E171" s="142" t="s">
        <v>203</v>
      </c>
      <c r="F171" s="98">
        <v>100</v>
      </c>
      <c r="G171" s="109">
        <f>'Приложение 4'!F170</f>
        <v>86905077.92</v>
      </c>
      <c r="H171" s="109">
        <f>'Приложение 4'!G170</f>
        <v>86586452</v>
      </c>
      <c r="I171" s="109">
        <f>'Приложение 4'!H170</f>
        <v>86122077</v>
      </c>
    </row>
    <row r="172" spans="1:9" s="140" customFormat="1" ht="32.25" customHeight="1">
      <c r="A172" s="48" t="s">
        <v>195</v>
      </c>
      <c r="B172" s="101">
        <v>701</v>
      </c>
      <c r="C172" s="107" t="s">
        <v>362</v>
      </c>
      <c r="D172" s="107" t="s">
        <v>310</v>
      </c>
      <c r="E172" s="142" t="s">
        <v>203</v>
      </c>
      <c r="F172" s="98">
        <v>200</v>
      </c>
      <c r="G172" s="109">
        <f>'Приложение 4'!F171</f>
        <v>61359123.00000001</v>
      </c>
      <c r="H172" s="109">
        <f>'Приложение 4'!G171</f>
        <v>63877575.51</v>
      </c>
      <c r="I172" s="109">
        <f>'Приложение 4'!H171</f>
        <v>63877575.51</v>
      </c>
    </row>
    <row r="173" spans="1:9" s="140" customFormat="1" ht="16.5">
      <c r="A173" s="48" t="s">
        <v>196</v>
      </c>
      <c r="B173" s="101">
        <v>701</v>
      </c>
      <c r="C173" s="107" t="s">
        <v>362</v>
      </c>
      <c r="D173" s="107" t="s">
        <v>310</v>
      </c>
      <c r="E173" s="142" t="s">
        <v>203</v>
      </c>
      <c r="F173" s="98">
        <v>300</v>
      </c>
      <c r="G173" s="109">
        <f>'Приложение 4'!F172</f>
        <v>128992</v>
      </c>
      <c r="H173" s="109">
        <f>'Приложение 4'!G172</f>
        <v>0</v>
      </c>
      <c r="I173" s="109">
        <f>'Приложение 4'!H172</f>
        <v>0</v>
      </c>
    </row>
    <row r="174" spans="1:9" s="140" customFormat="1" ht="33.75">
      <c r="A174" s="46" t="s">
        <v>204</v>
      </c>
      <c r="B174" s="101">
        <v>701</v>
      </c>
      <c r="C174" s="107" t="s">
        <v>362</v>
      </c>
      <c r="D174" s="107" t="s">
        <v>310</v>
      </c>
      <c r="E174" s="142" t="s">
        <v>203</v>
      </c>
      <c r="F174" s="98">
        <v>600</v>
      </c>
      <c r="G174" s="109">
        <f>'Приложение 4'!F173</f>
        <v>248921081.39999998</v>
      </c>
      <c r="H174" s="109">
        <f>'Приложение 4'!G173</f>
        <v>268409046.07</v>
      </c>
      <c r="I174" s="109">
        <f>'Приложение 4'!H173</f>
        <v>271140370.76</v>
      </c>
    </row>
    <row r="175" spans="1:9" s="140" customFormat="1" ht="16.5">
      <c r="A175" s="46" t="s">
        <v>197</v>
      </c>
      <c r="B175" s="101">
        <v>701</v>
      </c>
      <c r="C175" s="107" t="s">
        <v>362</v>
      </c>
      <c r="D175" s="107" t="s">
        <v>310</v>
      </c>
      <c r="E175" s="142" t="s">
        <v>203</v>
      </c>
      <c r="F175" s="98">
        <v>800</v>
      </c>
      <c r="G175" s="109">
        <f>'Приложение 4'!F174</f>
        <v>1926581.55</v>
      </c>
      <c r="H175" s="109">
        <f>'Приложение 4'!G174</f>
        <v>1569816</v>
      </c>
      <c r="I175" s="109">
        <f>'Приложение 4'!H174</f>
        <v>1569816</v>
      </c>
    </row>
    <row r="176" spans="1:9" s="140" customFormat="1" ht="33.75">
      <c r="A176" s="66" t="s">
        <v>267</v>
      </c>
      <c r="B176" s="101">
        <v>701</v>
      </c>
      <c r="C176" s="107" t="s">
        <v>362</v>
      </c>
      <c r="D176" s="107" t="s">
        <v>310</v>
      </c>
      <c r="E176" s="141" t="s">
        <v>268</v>
      </c>
      <c r="F176" s="101"/>
      <c r="G176" s="111">
        <f aca="true" t="shared" si="15" ref="G176:I177">G177</f>
        <v>67902277.06000002</v>
      </c>
      <c r="H176" s="111">
        <f t="shared" si="15"/>
        <v>0</v>
      </c>
      <c r="I176" s="111">
        <f t="shared" si="15"/>
        <v>0</v>
      </c>
    </row>
    <row r="177" spans="1:9" s="140" customFormat="1" ht="16.5">
      <c r="A177" s="46" t="s">
        <v>270</v>
      </c>
      <c r="B177" s="101">
        <v>701</v>
      </c>
      <c r="C177" s="107" t="s">
        <v>362</v>
      </c>
      <c r="D177" s="107" t="s">
        <v>310</v>
      </c>
      <c r="E177" s="142" t="s">
        <v>271</v>
      </c>
      <c r="F177" s="98"/>
      <c r="G177" s="109">
        <f t="shared" si="15"/>
        <v>67902277.06000002</v>
      </c>
      <c r="H177" s="109">
        <f t="shared" si="15"/>
        <v>0</v>
      </c>
      <c r="I177" s="109">
        <f t="shared" si="15"/>
        <v>0</v>
      </c>
    </row>
    <row r="178" spans="1:9" s="140" customFormat="1" ht="33.75">
      <c r="A178" s="46" t="s">
        <v>272</v>
      </c>
      <c r="B178" s="101">
        <v>701</v>
      </c>
      <c r="C178" s="107" t="s">
        <v>362</v>
      </c>
      <c r="D178" s="107" t="s">
        <v>310</v>
      </c>
      <c r="E178" s="142" t="s">
        <v>271</v>
      </c>
      <c r="F178" s="98">
        <v>400</v>
      </c>
      <c r="G178" s="109">
        <f>'Приложение 4'!F177</f>
        <v>67902277.06000002</v>
      </c>
      <c r="H178" s="109">
        <f>'Приложение 4'!G177</f>
        <v>0</v>
      </c>
      <c r="I178" s="109">
        <f>'Приложение 4'!H177</f>
        <v>0</v>
      </c>
    </row>
    <row r="179" spans="1:9" s="140" customFormat="1" ht="16.5">
      <c r="A179" s="70" t="s">
        <v>311</v>
      </c>
      <c r="B179" s="101">
        <v>701</v>
      </c>
      <c r="C179" s="105" t="s">
        <v>362</v>
      </c>
      <c r="D179" s="105" t="s">
        <v>310</v>
      </c>
      <c r="E179" s="113" t="s">
        <v>312</v>
      </c>
      <c r="F179" s="101"/>
      <c r="G179" s="111">
        <f>G180</f>
        <v>60629269.00999998</v>
      </c>
      <c r="H179" s="111">
        <f>H180</f>
        <v>0</v>
      </c>
      <c r="I179" s="111">
        <f>I180</f>
        <v>0</v>
      </c>
    </row>
    <row r="180" spans="1:9" s="140" customFormat="1" ht="16.5">
      <c r="A180" s="48" t="s">
        <v>331</v>
      </c>
      <c r="B180" s="101">
        <v>701</v>
      </c>
      <c r="C180" s="107" t="s">
        <v>362</v>
      </c>
      <c r="D180" s="107" t="s">
        <v>310</v>
      </c>
      <c r="E180" s="112" t="s">
        <v>332</v>
      </c>
      <c r="F180" s="98"/>
      <c r="G180" s="109">
        <f>SUM(G181:G183)</f>
        <v>60629269.00999998</v>
      </c>
      <c r="H180" s="109">
        <f>SUM(H181:H183)</f>
        <v>0</v>
      </c>
      <c r="I180" s="109">
        <f>SUM(I181:I183)</f>
        <v>0</v>
      </c>
    </row>
    <row r="181" spans="1:9" s="140" customFormat="1" ht="33.75">
      <c r="A181" s="48" t="s">
        <v>195</v>
      </c>
      <c r="B181" s="101">
        <v>701</v>
      </c>
      <c r="C181" s="107" t="s">
        <v>362</v>
      </c>
      <c r="D181" s="107" t="s">
        <v>310</v>
      </c>
      <c r="E181" s="112" t="s">
        <v>332</v>
      </c>
      <c r="F181" s="98">
        <v>200</v>
      </c>
      <c r="G181" s="109">
        <f>'Приложение 4'!F180</f>
        <v>8073215.08</v>
      </c>
      <c r="H181" s="109">
        <f>'Приложение 4'!G180</f>
        <v>0</v>
      </c>
      <c r="I181" s="109">
        <f>'Приложение 4'!H180</f>
        <v>0</v>
      </c>
    </row>
    <row r="182" spans="1:9" s="140" customFormat="1" ht="33.75" hidden="1">
      <c r="A182" s="46" t="s">
        <v>272</v>
      </c>
      <c r="B182" s="101">
        <v>701</v>
      </c>
      <c r="C182" s="107" t="s">
        <v>362</v>
      </c>
      <c r="D182" s="107" t="s">
        <v>310</v>
      </c>
      <c r="E182" s="112" t="s">
        <v>332</v>
      </c>
      <c r="F182" s="98">
        <v>400</v>
      </c>
      <c r="G182" s="109">
        <v>0</v>
      </c>
      <c r="H182" s="109">
        <v>0</v>
      </c>
      <c r="I182" s="109">
        <v>0</v>
      </c>
    </row>
    <row r="183" spans="1:9" s="140" customFormat="1" ht="33.75">
      <c r="A183" s="46" t="s">
        <v>204</v>
      </c>
      <c r="B183" s="101">
        <v>701</v>
      </c>
      <c r="C183" s="107" t="s">
        <v>362</v>
      </c>
      <c r="D183" s="107" t="s">
        <v>310</v>
      </c>
      <c r="E183" s="112" t="s">
        <v>332</v>
      </c>
      <c r="F183" s="98">
        <v>600</v>
      </c>
      <c r="G183" s="109">
        <f>'Приложение 4'!F182</f>
        <v>52556053.929999985</v>
      </c>
      <c r="H183" s="109">
        <f>'Приложение 4'!G182</f>
        <v>0</v>
      </c>
      <c r="I183" s="109">
        <f>'Приложение 4'!H182</f>
        <v>0</v>
      </c>
    </row>
    <row r="184" spans="1:9" s="140" customFormat="1" ht="16.5">
      <c r="A184" s="66" t="s">
        <v>365</v>
      </c>
      <c r="B184" s="101">
        <v>701</v>
      </c>
      <c r="C184" s="105" t="s">
        <v>362</v>
      </c>
      <c r="D184" s="105" t="s">
        <v>318</v>
      </c>
      <c r="E184" s="141"/>
      <c r="F184" s="101"/>
      <c r="G184" s="111">
        <f>G185+G190+G196+G199</f>
        <v>350233022.77</v>
      </c>
      <c r="H184" s="111">
        <f>H185+H190+H196+H199</f>
        <v>179150030.47</v>
      </c>
      <c r="I184" s="111">
        <f>I185+I190+I196+I199</f>
        <v>179407995.11</v>
      </c>
    </row>
    <row r="185" spans="1:9" s="140" customFormat="1" ht="16.5">
      <c r="A185" s="66" t="s">
        <v>190</v>
      </c>
      <c r="B185" s="101">
        <v>701</v>
      </c>
      <c r="C185" s="105" t="s">
        <v>362</v>
      </c>
      <c r="D185" s="105" t="s">
        <v>318</v>
      </c>
      <c r="E185" s="141" t="s">
        <v>191</v>
      </c>
      <c r="F185" s="101"/>
      <c r="G185" s="111">
        <f>G186</f>
        <v>86916960.17</v>
      </c>
      <c r="H185" s="111">
        <f>H186</f>
        <v>81729230.47</v>
      </c>
      <c r="I185" s="111">
        <f>I186</f>
        <v>81987195.11</v>
      </c>
    </row>
    <row r="186" spans="1:9" s="138" customFormat="1" ht="16.5">
      <c r="A186" s="149" t="s">
        <v>205</v>
      </c>
      <c r="B186" s="101">
        <v>701</v>
      </c>
      <c r="C186" s="107" t="s">
        <v>362</v>
      </c>
      <c r="D186" s="107" t="s">
        <v>318</v>
      </c>
      <c r="E186" s="142" t="s">
        <v>206</v>
      </c>
      <c r="F186" s="98"/>
      <c r="G186" s="108">
        <f>G187+G188+G189</f>
        <v>86916960.17</v>
      </c>
      <c r="H186" s="108">
        <f>H187+H188+H189</f>
        <v>81729230.47</v>
      </c>
      <c r="I186" s="108">
        <f>I187+I188+I189</f>
        <v>81987195.11</v>
      </c>
    </row>
    <row r="187" spans="1:9" s="140" customFormat="1" ht="67.5">
      <c r="A187" s="48" t="s">
        <v>194</v>
      </c>
      <c r="B187" s="101">
        <v>701</v>
      </c>
      <c r="C187" s="107" t="s">
        <v>362</v>
      </c>
      <c r="D187" s="107" t="s">
        <v>318</v>
      </c>
      <c r="E187" s="142" t="s">
        <v>206</v>
      </c>
      <c r="F187" s="98">
        <v>100</v>
      </c>
      <c r="G187" s="108">
        <f>'Приложение 4'!F186</f>
        <v>73690806.08</v>
      </c>
      <c r="H187" s="108">
        <f>'Приложение 4'!G186</f>
        <v>74163704.13</v>
      </c>
      <c r="I187" s="108">
        <f>'Приложение 4'!H186</f>
        <v>74163704.13</v>
      </c>
    </row>
    <row r="188" spans="1:9" s="140" customFormat="1" ht="33.75">
      <c r="A188" s="48" t="s">
        <v>195</v>
      </c>
      <c r="B188" s="101">
        <v>701</v>
      </c>
      <c r="C188" s="107" t="s">
        <v>362</v>
      </c>
      <c r="D188" s="107" t="s">
        <v>318</v>
      </c>
      <c r="E188" s="142" t="s">
        <v>206</v>
      </c>
      <c r="F188" s="98">
        <v>200</v>
      </c>
      <c r="G188" s="108">
        <f>'Приложение 4'!F187</f>
        <v>10626154.089999998</v>
      </c>
      <c r="H188" s="108">
        <f>'Приложение 4'!G187</f>
        <v>7565526.34</v>
      </c>
      <c r="I188" s="108">
        <f>'Приложение 4'!H187</f>
        <v>7823490.98</v>
      </c>
    </row>
    <row r="189" spans="1:9" s="140" customFormat="1" ht="16.5">
      <c r="A189" s="46" t="s">
        <v>197</v>
      </c>
      <c r="B189" s="101">
        <v>701</v>
      </c>
      <c r="C189" s="107" t="s">
        <v>362</v>
      </c>
      <c r="D189" s="107" t="s">
        <v>318</v>
      </c>
      <c r="E189" s="142" t="s">
        <v>206</v>
      </c>
      <c r="F189" s="98">
        <v>800</v>
      </c>
      <c r="G189" s="108">
        <f>'Приложение 4'!F188</f>
        <v>2600000</v>
      </c>
      <c r="H189" s="108">
        <v>0</v>
      </c>
      <c r="I189" s="108">
        <v>0</v>
      </c>
    </row>
    <row r="190" spans="1:9" s="140" customFormat="1" ht="16.5">
      <c r="A190" s="66" t="s">
        <v>209</v>
      </c>
      <c r="B190" s="101">
        <v>701</v>
      </c>
      <c r="C190" s="105" t="s">
        <v>362</v>
      </c>
      <c r="D190" s="105" t="s">
        <v>318</v>
      </c>
      <c r="E190" s="141" t="s">
        <v>191</v>
      </c>
      <c r="F190" s="101"/>
      <c r="G190" s="106">
        <f>G191</f>
        <v>92936072.15</v>
      </c>
      <c r="H190" s="106">
        <f>H191</f>
        <v>97420800</v>
      </c>
      <c r="I190" s="106">
        <f>I191</f>
        <v>97420800</v>
      </c>
    </row>
    <row r="191" spans="1:9" s="140" customFormat="1" ht="16.5">
      <c r="A191" s="46" t="s">
        <v>205</v>
      </c>
      <c r="B191" s="101">
        <v>701</v>
      </c>
      <c r="C191" s="107" t="s">
        <v>362</v>
      </c>
      <c r="D191" s="107" t="s">
        <v>318</v>
      </c>
      <c r="E191" s="142" t="s">
        <v>206</v>
      </c>
      <c r="F191" s="98"/>
      <c r="G191" s="108">
        <f>G192+G193+G195+G194</f>
        <v>92936072.15</v>
      </c>
      <c r="H191" s="108">
        <f>H192+H193+H195+H194</f>
        <v>97420800</v>
      </c>
      <c r="I191" s="108">
        <f>I192+I193+I195+I194</f>
        <v>97420800</v>
      </c>
    </row>
    <row r="192" spans="1:9" s="140" customFormat="1" ht="67.5">
      <c r="A192" s="48" t="s">
        <v>194</v>
      </c>
      <c r="B192" s="101">
        <v>701</v>
      </c>
      <c r="C192" s="107" t="s">
        <v>362</v>
      </c>
      <c r="D192" s="107" t="s">
        <v>318</v>
      </c>
      <c r="E192" s="142" t="s">
        <v>206</v>
      </c>
      <c r="F192" s="98">
        <v>100</v>
      </c>
      <c r="G192" s="109">
        <f>'Приложение 4'!F191</f>
        <v>85465032.15</v>
      </c>
      <c r="H192" s="109">
        <f>'Приложение 4'!G191</f>
        <v>86918500</v>
      </c>
      <c r="I192" s="109">
        <f>'Приложение 4'!H191</f>
        <v>86918500</v>
      </c>
    </row>
    <row r="193" spans="1:9" s="140" customFormat="1" ht="33.75">
      <c r="A193" s="48" t="s">
        <v>195</v>
      </c>
      <c r="B193" s="101">
        <v>701</v>
      </c>
      <c r="C193" s="107" t="s">
        <v>362</v>
      </c>
      <c r="D193" s="107" t="s">
        <v>318</v>
      </c>
      <c r="E193" s="142" t="s">
        <v>206</v>
      </c>
      <c r="F193" s="98">
        <v>200</v>
      </c>
      <c r="G193" s="109">
        <f>'Приложение 4'!F192</f>
        <v>6877237.37</v>
      </c>
      <c r="H193" s="109">
        <f>'Приложение 4'!G192</f>
        <v>10476500</v>
      </c>
      <c r="I193" s="109">
        <f>'Приложение 4'!H192</f>
        <v>10476500</v>
      </c>
    </row>
    <row r="194" spans="1:9" s="140" customFormat="1" ht="16.5">
      <c r="A194" s="48" t="s">
        <v>196</v>
      </c>
      <c r="B194" s="101">
        <v>701</v>
      </c>
      <c r="C194" s="107" t="s">
        <v>362</v>
      </c>
      <c r="D194" s="107" t="s">
        <v>318</v>
      </c>
      <c r="E194" s="142" t="s">
        <v>206</v>
      </c>
      <c r="F194" s="98">
        <v>300</v>
      </c>
      <c r="G194" s="109">
        <f>'Приложение 4'!F193</f>
        <v>429492.63</v>
      </c>
      <c r="H194" s="109">
        <f>'Приложение 4'!G193</f>
        <v>0</v>
      </c>
      <c r="I194" s="109">
        <f>'Приложение 4'!H193</f>
        <v>0</v>
      </c>
    </row>
    <row r="195" spans="1:9" s="140" customFormat="1" ht="16.5">
      <c r="A195" s="46" t="s">
        <v>197</v>
      </c>
      <c r="B195" s="101">
        <v>701</v>
      </c>
      <c r="C195" s="107" t="s">
        <v>362</v>
      </c>
      <c r="D195" s="107" t="s">
        <v>318</v>
      </c>
      <c r="E195" s="142" t="s">
        <v>206</v>
      </c>
      <c r="F195" s="98">
        <v>800</v>
      </c>
      <c r="G195" s="109">
        <f>'Приложение 4'!F194</f>
        <v>164310</v>
      </c>
      <c r="H195" s="109">
        <f>'Приложение 4'!G194</f>
        <v>25800</v>
      </c>
      <c r="I195" s="109">
        <f>'Приложение 4'!H194</f>
        <v>25800</v>
      </c>
    </row>
    <row r="196" spans="1:9" s="140" customFormat="1" ht="33.75">
      <c r="A196" s="66" t="s">
        <v>267</v>
      </c>
      <c r="B196" s="101">
        <v>701</v>
      </c>
      <c r="C196" s="107" t="s">
        <v>362</v>
      </c>
      <c r="D196" s="107" t="s">
        <v>318</v>
      </c>
      <c r="E196" s="141" t="s">
        <v>268</v>
      </c>
      <c r="F196" s="98"/>
      <c r="G196" s="109">
        <f aca="true" t="shared" si="16" ref="G196:I197">G197</f>
        <v>170080852.59</v>
      </c>
      <c r="H196" s="109">
        <f t="shared" si="16"/>
        <v>0</v>
      </c>
      <c r="I196" s="109">
        <f t="shared" si="16"/>
        <v>0</v>
      </c>
    </row>
    <row r="197" spans="1:9" s="140" customFormat="1" ht="16.5">
      <c r="A197" s="46" t="s">
        <v>270</v>
      </c>
      <c r="B197" s="101">
        <v>701</v>
      </c>
      <c r="C197" s="107" t="s">
        <v>362</v>
      </c>
      <c r="D197" s="107" t="s">
        <v>318</v>
      </c>
      <c r="E197" s="142" t="s">
        <v>271</v>
      </c>
      <c r="F197" s="98"/>
      <c r="G197" s="109">
        <f t="shared" si="16"/>
        <v>170080852.59</v>
      </c>
      <c r="H197" s="109">
        <f t="shared" si="16"/>
        <v>0</v>
      </c>
      <c r="I197" s="109">
        <f t="shared" si="16"/>
        <v>0</v>
      </c>
    </row>
    <row r="198" spans="1:9" s="140" customFormat="1" ht="33.75">
      <c r="A198" s="46" t="s">
        <v>272</v>
      </c>
      <c r="B198" s="101">
        <v>701</v>
      </c>
      <c r="C198" s="107" t="s">
        <v>362</v>
      </c>
      <c r="D198" s="107" t="s">
        <v>318</v>
      </c>
      <c r="E198" s="142" t="s">
        <v>271</v>
      </c>
      <c r="F198" s="98">
        <v>400</v>
      </c>
      <c r="G198" s="109">
        <f>'Приложение 4'!F197</f>
        <v>170080852.59</v>
      </c>
      <c r="H198" s="109">
        <f>'Приложение 4'!G197</f>
        <v>0</v>
      </c>
      <c r="I198" s="109">
        <f>'Приложение 4'!H197</f>
        <v>0</v>
      </c>
    </row>
    <row r="199" spans="1:9" s="140" customFormat="1" ht="16.5">
      <c r="A199" s="70" t="s">
        <v>311</v>
      </c>
      <c r="B199" s="101">
        <v>701</v>
      </c>
      <c r="C199" s="107" t="s">
        <v>362</v>
      </c>
      <c r="D199" s="107" t="s">
        <v>318</v>
      </c>
      <c r="E199" s="113" t="s">
        <v>312</v>
      </c>
      <c r="F199" s="98"/>
      <c r="G199" s="111">
        <f aca="true" t="shared" si="17" ref="G199:I200">G200</f>
        <v>299137.86</v>
      </c>
      <c r="H199" s="111">
        <f t="shared" si="17"/>
        <v>0</v>
      </c>
      <c r="I199" s="111">
        <f t="shared" si="17"/>
        <v>0</v>
      </c>
    </row>
    <row r="200" spans="1:9" s="140" customFormat="1" ht="16.5">
      <c r="A200" s="48" t="s">
        <v>331</v>
      </c>
      <c r="B200" s="101">
        <v>701</v>
      </c>
      <c r="C200" s="107" t="s">
        <v>362</v>
      </c>
      <c r="D200" s="107" t="s">
        <v>318</v>
      </c>
      <c r="E200" s="112" t="s">
        <v>332</v>
      </c>
      <c r="F200" s="98"/>
      <c r="G200" s="109">
        <f t="shared" si="17"/>
        <v>299137.86</v>
      </c>
      <c r="H200" s="109">
        <f t="shared" si="17"/>
        <v>0</v>
      </c>
      <c r="I200" s="109">
        <f t="shared" si="17"/>
        <v>0</v>
      </c>
    </row>
    <row r="201" spans="1:9" s="140" customFormat="1" ht="33.75">
      <c r="A201" s="48" t="s">
        <v>195</v>
      </c>
      <c r="B201" s="101">
        <v>701</v>
      </c>
      <c r="C201" s="107" t="s">
        <v>362</v>
      </c>
      <c r="D201" s="107" t="s">
        <v>318</v>
      </c>
      <c r="E201" s="142" t="s">
        <v>332</v>
      </c>
      <c r="F201" s="98">
        <v>200</v>
      </c>
      <c r="G201" s="109">
        <f>'Приложение 4'!F200</f>
        <v>299137.86</v>
      </c>
      <c r="H201" s="109">
        <f>'Приложение 4'!G200</f>
        <v>0</v>
      </c>
      <c r="I201" s="109">
        <f>'Приложение 4'!H200</f>
        <v>0</v>
      </c>
    </row>
    <row r="202" spans="1:9" s="140" customFormat="1" ht="16.5">
      <c r="A202" s="66" t="s">
        <v>411</v>
      </c>
      <c r="B202" s="101">
        <v>701</v>
      </c>
      <c r="C202" s="105" t="s">
        <v>362</v>
      </c>
      <c r="D202" s="105" t="s">
        <v>362</v>
      </c>
      <c r="E202" s="101"/>
      <c r="F202" s="101"/>
      <c r="G202" s="106">
        <f>G203+G218</f>
        <v>97358716.47</v>
      </c>
      <c r="H202" s="106">
        <f>H203+H218</f>
        <v>82727641.4</v>
      </c>
      <c r="I202" s="106">
        <f>I203+I218</f>
        <v>82727641.4</v>
      </c>
    </row>
    <row r="203" spans="1:9" s="140" customFormat="1" ht="33.75">
      <c r="A203" s="66" t="s">
        <v>412</v>
      </c>
      <c r="B203" s="101">
        <v>701</v>
      </c>
      <c r="C203" s="105" t="s">
        <v>362</v>
      </c>
      <c r="D203" s="105" t="s">
        <v>362</v>
      </c>
      <c r="E203" s="141" t="s">
        <v>242</v>
      </c>
      <c r="F203" s="101"/>
      <c r="G203" s="106">
        <f>G204+G207+G216+G211</f>
        <v>29991589.900000002</v>
      </c>
      <c r="H203" s="106">
        <f>H204+H207+H216+H211</f>
        <v>29675883.55</v>
      </c>
      <c r="I203" s="106">
        <f>I204+I207+I216+I211</f>
        <v>29675883.55</v>
      </c>
    </row>
    <row r="204" spans="1:9" s="140" customFormat="1" ht="16.5">
      <c r="A204" s="46" t="s">
        <v>192</v>
      </c>
      <c r="B204" s="101">
        <v>701</v>
      </c>
      <c r="C204" s="107" t="s">
        <v>362</v>
      </c>
      <c r="D204" s="107" t="s">
        <v>362</v>
      </c>
      <c r="E204" s="142" t="s">
        <v>243</v>
      </c>
      <c r="F204" s="98"/>
      <c r="G204" s="108">
        <f>SUM(G205:G206)</f>
        <v>17938102.19</v>
      </c>
      <c r="H204" s="108">
        <f>SUM(H205:H206)</f>
        <v>14522840.35</v>
      </c>
      <c r="I204" s="108">
        <f>SUM(I205:I206)</f>
        <v>14522840.35</v>
      </c>
    </row>
    <row r="205" spans="1:9" s="140" customFormat="1" ht="67.5">
      <c r="A205" s="46" t="s">
        <v>194</v>
      </c>
      <c r="B205" s="101">
        <v>701</v>
      </c>
      <c r="C205" s="107" t="s">
        <v>362</v>
      </c>
      <c r="D205" s="107" t="s">
        <v>362</v>
      </c>
      <c r="E205" s="142" t="s">
        <v>243</v>
      </c>
      <c r="F205" s="98">
        <v>100</v>
      </c>
      <c r="G205" s="108">
        <f>'Приложение 4'!F204</f>
        <v>15957188.89</v>
      </c>
      <c r="H205" s="108">
        <f>'Приложение 4'!G204</f>
        <v>13523598.93</v>
      </c>
      <c r="I205" s="108">
        <f>'Приложение 4'!H204</f>
        <v>13523598.93</v>
      </c>
    </row>
    <row r="206" spans="1:9" s="140" customFormat="1" ht="33.75">
      <c r="A206" s="48" t="s">
        <v>195</v>
      </c>
      <c r="B206" s="101">
        <v>701</v>
      </c>
      <c r="C206" s="107" t="s">
        <v>362</v>
      </c>
      <c r="D206" s="107" t="s">
        <v>362</v>
      </c>
      <c r="E206" s="142" t="s">
        <v>243</v>
      </c>
      <c r="F206" s="98">
        <v>200</v>
      </c>
      <c r="G206" s="108">
        <f>'Приложение 4'!F205</f>
        <v>1980913.2999999998</v>
      </c>
      <c r="H206" s="108">
        <f>'Приложение 4'!G205</f>
        <v>999241.42</v>
      </c>
      <c r="I206" s="108">
        <f>'Приложение 4'!H205</f>
        <v>999241.42</v>
      </c>
    </row>
    <row r="207" spans="1:11" s="151" customFormat="1" ht="33.75">
      <c r="A207" s="46" t="s">
        <v>244</v>
      </c>
      <c r="B207" s="101">
        <v>701</v>
      </c>
      <c r="C207" s="107" t="s">
        <v>362</v>
      </c>
      <c r="D207" s="107" t="s">
        <v>362</v>
      </c>
      <c r="E207" s="142" t="s">
        <v>245</v>
      </c>
      <c r="F207" s="98"/>
      <c r="G207" s="108">
        <f>G208+G209+G210</f>
        <v>10269397.62</v>
      </c>
      <c r="H207" s="108">
        <f>H208+H209+H210</f>
        <v>13290057.32</v>
      </c>
      <c r="I207" s="108">
        <f>I208+I209+I210</f>
        <v>13290057.32</v>
      </c>
      <c r="J207" s="150"/>
      <c r="K207" s="150"/>
    </row>
    <row r="208" spans="1:11" s="151" customFormat="1" ht="67.5">
      <c r="A208" s="46" t="s">
        <v>194</v>
      </c>
      <c r="B208" s="101">
        <v>701</v>
      </c>
      <c r="C208" s="107" t="s">
        <v>362</v>
      </c>
      <c r="D208" s="107" t="s">
        <v>362</v>
      </c>
      <c r="E208" s="142" t="s">
        <v>245</v>
      </c>
      <c r="F208" s="98">
        <v>100</v>
      </c>
      <c r="G208" s="108">
        <f>'Приложение 4'!F207</f>
        <v>457203.75</v>
      </c>
      <c r="H208" s="108">
        <f>'Приложение 4'!G207</f>
        <v>475491.9</v>
      </c>
      <c r="I208" s="108">
        <f>'Приложение 4'!H207</f>
        <v>475491.9</v>
      </c>
      <c r="J208" s="150"/>
      <c r="K208" s="150"/>
    </row>
    <row r="209" spans="1:9" s="151" customFormat="1" ht="33.75">
      <c r="A209" s="48" t="s">
        <v>195</v>
      </c>
      <c r="B209" s="101">
        <v>701</v>
      </c>
      <c r="C209" s="107" t="s">
        <v>362</v>
      </c>
      <c r="D209" s="107" t="s">
        <v>362</v>
      </c>
      <c r="E209" s="142" t="s">
        <v>245</v>
      </c>
      <c r="F209" s="98">
        <v>200</v>
      </c>
      <c r="G209" s="108">
        <f>'Приложение 4'!F208</f>
        <v>3726743.8699999996</v>
      </c>
      <c r="H209" s="108">
        <f>'Приложение 4'!G208</f>
        <v>3865609.31</v>
      </c>
      <c r="I209" s="108">
        <f>'Приложение 4'!H208</f>
        <v>3865609.31</v>
      </c>
    </row>
    <row r="210" spans="1:9" s="151" customFormat="1" ht="16.5">
      <c r="A210" s="46" t="s">
        <v>196</v>
      </c>
      <c r="B210" s="101">
        <v>701</v>
      </c>
      <c r="C210" s="107" t="s">
        <v>362</v>
      </c>
      <c r="D210" s="107" t="s">
        <v>362</v>
      </c>
      <c r="E210" s="142" t="s">
        <v>245</v>
      </c>
      <c r="F210" s="98">
        <v>300</v>
      </c>
      <c r="G210" s="108">
        <f>'Приложение 4'!F209</f>
        <v>6085450</v>
      </c>
      <c r="H210" s="108">
        <f>'Приложение 4'!G209</f>
        <v>8948956.11</v>
      </c>
      <c r="I210" s="108">
        <f>'Приложение 4'!H209</f>
        <v>8948956.11</v>
      </c>
    </row>
    <row r="211" spans="1:9" s="151" customFormat="1" ht="33.75">
      <c r="A211" s="46" t="s">
        <v>246</v>
      </c>
      <c r="B211" s="101">
        <v>701</v>
      </c>
      <c r="C211" s="107" t="s">
        <v>362</v>
      </c>
      <c r="D211" s="107" t="s">
        <v>362</v>
      </c>
      <c r="E211" s="142" t="s">
        <v>247</v>
      </c>
      <c r="F211" s="98"/>
      <c r="G211" s="108">
        <f>G212+G213+G214+G215</f>
        <v>782796.2</v>
      </c>
      <c r="H211" s="108">
        <f>H212+H213+H214+H215</f>
        <v>829984.79</v>
      </c>
      <c r="I211" s="108">
        <f>I212+I213+I214+I215</f>
        <v>829984.79</v>
      </c>
    </row>
    <row r="212" spans="1:9" s="151" customFormat="1" ht="33.75">
      <c r="A212" s="48" t="s">
        <v>195</v>
      </c>
      <c r="B212" s="101">
        <v>701</v>
      </c>
      <c r="C212" s="107" t="s">
        <v>362</v>
      </c>
      <c r="D212" s="107" t="s">
        <v>362</v>
      </c>
      <c r="E212" s="142" t="s">
        <v>247</v>
      </c>
      <c r="F212" s="98">
        <v>200</v>
      </c>
      <c r="G212" s="108">
        <f>'Приложение 4'!F211</f>
        <v>263172.2</v>
      </c>
      <c r="H212" s="108">
        <f>'Приложение 4'!G211</f>
        <v>272138.11</v>
      </c>
      <c r="I212" s="108">
        <f>'Приложение 4'!H211</f>
        <v>272138.11</v>
      </c>
    </row>
    <row r="213" spans="1:9" s="151" customFormat="1" ht="16.5">
      <c r="A213" s="46" t="s">
        <v>196</v>
      </c>
      <c r="B213" s="101">
        <v>701</v>
      </c>
      <c r="C213" s="107" t="s">
        <v>362</v>
      </c>
      <c r="D213" s="107" t="s">
        <v>362</v>
      </c>
      <c r="E213" s="142" t="s">
        <v>247</v>
      </c>
      <c r="F213" s="98">
        <v>300</v>
      </c>
      <c r="G213" s="108">
        <f>'Приложение 4'!F212</f>
        <v>519624</v>
      </c>
      <c r="H213" s="108">
        <f>'Приложение 4'!G212</f>
        <v>186531.68</v>
      </c>
      <c r="I213" s="108">
        <f>'Приложение 4'!H212</f>
        <v>186531.68</v>
      </c>
    </row>
    <row r="214" spans="1:9" s="151" customFormat="1" ht="33.75">
      <c r="A214" s="46" t="s">
        <v>204</v>
      </c>
      <c r="B214" s="101">
        <v>701</v>
      </c>
      <c r="C214" s="107" t="s">
        <v>362</v>
      </c>
      <c r="D214" s="107" t="s">
        <v>362</v>
      </c>
      <c r="E214" s="142" t="s">
        <v>247</v>
      </c>
      <c r="F214" s="98">
        <v>600</v>
      </c>
      <c r="G214" s="108">
        <f>'Приложение 2'!D110</f>
        <v>0</v>
      </c>
      <c r="H214" s="108">
        <f>'Приложение 2'!E110</f>
        <v>371315</v>
      </c>
      <c r="I214" s="108">
        <f>'Приложение 2'!F110</f>
        <v>371315</v>
      </c>
    </row>
    <row r="215" spans="1:9" s="151" customFormat="1" ht="16.5">
      <c r="A215" s="46" t="s">
        <v>197</v>
      </c>
      <c r="B215" s="101">
        <v>701</v>
      </c>
      <c r="C215" s="107" t="s">
        <v>362</v>
      </c>
      <c r="D215" s="107" t="s">
        <v>362</v>
      </c>
      <c r="E215" s="142" t="s">
        <v>247</v>
      </c>
      <c r="F215" s="98">
        <v>800</v>
      </c>
      <c r="G215" s="108">
        <f>'[1]Приложение 2'!D106</f>
        <v>0</v>
      </c>
      <c r="H215" s="108">
        <f>'[1]Приложение 2'!E106</f>
        <v>0</v>
      </c>
      <c r="I215" s="108">
        <f>'[1]Приложение 2'!F106</f>
        <v>0</v>
      </c>
    </row>
    <row r="216" spans="1:9" s="151" customFormat="1" ht="33.75">
      <c r="A216" s="48" t="s">
        <v>413</v>
      </c>
      <c r="B216" s="101">
        <v>701</v>
      </c>
      <c r="C216" s="107" t="s">
        <v>362</v>
      </c>
      <c r="D216" s="107" t="s">
        <v>362</v>
      </c>
      <c r="E216" s="107" t="s">
        <v>251</v>
      </c>
      <c r="F216" s="107"/>
      <c r="G216" s="108">
        <f>G217</f>
        <v>1001293.89</v>
      </c>
      <c r="H216" s="108">
        <f>H217</f>
        <v>1033001.09</v>
      </c>
      <c r="I216" s="108">
        <f>I217</f>
        <v>1033001.09</v>
      </c>
    </row>
    <row r="217" spans="1:9" s="151" customFormat="1" ht="33.75">
      <c r="A217" s="48" t="s">
        <v>195</v>
      </c>
      <c r="B217" s="101">
        <v>701</v>
      </c>
      <c r="C217" s="107" t="s">
        <v>362</v>
      </c>
      <c r="D217" s="107" t="s">
        <v>362</v>
      </c>
      <c r="E217" s="107" t="s">
        <v>251</v>
      </c>
      <c r="F217" s="107" t="s">
        <v>252</v>
      </c>
      <c r="G217" s="108">
        <f>'Приложение 4'!F216</f>
        <v>1001293.89</v>
      </c>
      <c r="H217" s="108">
        <f>'Приложение 4'!G216</f>
        <v>1033001.09</v>
      </c>
      <c r="I217" s="108">
        <f>'Приложение 4'!H216</f>
        <v>1033001.09</v>
      </c>
    </row>
    <row r="218" spans="1:9" s="151" customFormat="1" ht="16.5">
      <c r="A218" s="66" t="s">
        <v>414</v>
      </c>
      <c r="B218" s="101">
        <v>701</v>
      </c>
      <c r="C218" s="105" t="s">
        <v>362</v>
      </c>
      <c r="D218" s="105" t="s">
        <v>362</v>
      </c>
      <c r="E218" s="141" t="s">
        <v>191</v>
      </c>
      <c r="F218" s="101"/>
      <c r="G218" s="106">
        <f>G219</f>
        <v>67367126.57</v>
      </c>
      <c r="H218" s="106">
        <f>H219</f>
        <v>53051757.85</v>
      </c>
      <c r="I218" s="106">
        <f>I219</f>
        <v>53051757.85</v>
      </c>
    </row>
    <row r="219" spans="1:9" s="151" customFormat="1" ht="16.5">
      <c r="A219" s="46" t="s">
        <v>207</v>
      </c>
      <c r="B219" s="101">
        <v>701</v>
      </c>
      <c r="C219" s="107" t="s">
        <v>362</v>
      </c>
      <c r="D219" s="107" t="s">
        <v>362</v>
      </c>
      <c r="E219" s="142" t="s">
        <v>208</v>
      </c>
      <c r="F219" s="98"/>
      <c r="G219" s="108">
        <f>SUM(G220:G224)</f>
        <v>67367126.57</v>
      </c>
      <c r="H219" s="108">
        <f>SUM(H220:H224)</f>
        <v>53051757.85</v>
      </c>
      <c r="I219" s="108">
        <f>SUM(I220:I224)</f>
        <v>53051757.85</v>
      </c>
    </row>
    <row r="220" spans="1:9" s="151" customFormat="1" ht="67.5">
      <c r="A220" s="46" t="s">
        <v>194</v>
      </c>
      <c r="B220" s="101">
        <v>701</v>
      </c>
      <c r="C220" s="107" t="s">
        <v>362</v>
      </c>
      <c r="D220" s="107" t="s">
        <v>362</v>
      </c>
      <c r="E220" s="142" t="s">
        <v>208</v>
      </c>
      <c r="F220" s="98">
        <v>100</v>
      </c>
      <c r="G220" s="108">
        <f>'Приложение 4'!F219</f>
        <v>13923945.26</v>
      </c>
      <c r="H220" s="108">
        <f>'Приложение 4'!G219</f>
        <v>0</v>
      </c>
      <c r="I220" s="108">
        <f>'Приложение 4'!H219</f>
        <v>0</v>
      </c>
    </row>
    <row r="221" spans="1:9" s="151" customFormat="1" ht="33.75">
      <c r="A221" s="48" t="s">
        <v>195</v>
      </c>
      <c r="B221" s="101">
        <v>701</v>
      </c>
      <c r="C221" s="107" t="s">
        <v>362</v>
      </c>
      <c r="D221" s="107" t="s">
        <v>362</v>
      </c>
      <c r="E221" s="142" t="s">
        <v>208</v>
      </c>
      <c r="F221" s="98">
        <v>200</v>
      </c>
      <c r="G221" s="108">
        <f>'Приложение 4'!F220</f>
        <v>22862657.770000003</v>
      </c>
      <c r="H221" s="108">
        <f>'Приложение 4'!G220</f>
        <v>0</v>
      </c>
      <c r="I221" s="108">
        <f>'Приложение 4'!H220</f>
        <v>0</v>
      </c>
    </row>
    <row r="222" spans="1:9" s="151" customFormat="1" ht="16.5" hidden="1">
      <c r="A222" s="48" t="s">
        <v>196</v>
      </c>
      <c r="B222" s="101">
        <v>701</v>
      </c>
      <c r="C222" s="107" t="s">
        <v>362</v>
      </c>
      <c r="D222" s="107" t="s">
        <v>362</v>
      </c>
      <c r="E222" s="142" t="s">
        <v>208</v>
      </c>
      <c r="F222" s="98">
        <v>300</v>
      </c>
      <c r="G222" s="108"/>
      <c r="H222" s="108"/>
      <c r="I222" s="108"/>
    </row>
    <row r="223" spans="1:9" s="151" customFormat="1" ht="33.75">
      <c r="A223" s="46" t="s">
        <v>204</v>
      </c>
      <c r="B223" s="101">
        <v>701</v>
      </c>
      <c r="C223" s="107" t="s">
        <v>362</v>
      </c>
      <c r="D223" s="107" t="s">
        <v>362</v>
      </c>
      <c r="E223" s="142" t="s">
        <v>208</v>
      </c>
      <c r="F223" s="98">
        <v>600</v>
      </c>
      <c r="G223" s="108">
        <f>'Приложение 4'!F222</f>
        <v>30580523.54</v>
      </c>
      <c r="H223" s="108">
        <f>'Приложение 4'!G222</f>
        <v>14026991.85</v>
      </c>
      <c r="I223" s="108">
        <f>'Приложение 4'!H222</f>
        <v>14026991.85</v>
      </c>
    </row>
    <row r="224" spans="1:9" s="151" customFormat="1" ht="16.5">
      <c r="A224" s="46" t="s">
        <v>197</v>
      </c>
      <c r="B224" s="101">
        <v>701</v>
      </c>
      <c r="C224" s="107" t="s">
        <v>362</v>
      </c>
      <c r="D224" s="107" t="s">
        <v>362</v>
      </c>
      <c r="E224" s="142" t="s">
        <v>208</v>
      </c>
      <c r="F224" s="98">
        <v>800</v>
      </c>
      <c r="G224" s="108">
        <f>'Приложение 4'!F223</f>
        <v>0</v>
      </c>
      <c r="H224" s="108">
        <f>'Приложение 4'!G223</f>
        <v>39024766</v>
      </c>
      <c r="I224" s="108">
        <f>'Приложение 4'!H223</f>
        <v>39024766</v>
      </c>
    </row>
    <row r="225" spans="1:9" s="152" customFormat="1" ht="16.5">
      <c r="A225" s="66" t="s">
        <v>366</v>
      </c>
      <c r="B225" s="101">
        <v>701</v>
      </c>
      <c r="C225" s="105" t="s">
        <v>362</v>
      </c>
      <c r="D225" s="105" t="s">
        <v>367</v>
      </c>
      <c r="E225" s="101"/>
      <c r="F225" s="101"/>
      <c r="G225" s="106">
        <f>G226+G232</f>
        <v>65280966.15</v>
      </c>
      <c r="H225" s="106">
        <f>H226</f>
        <v>83274533</v>
      </c>
      <c r="I225" s="106">
        <f>I226</f>
        <v>83274533</v>
      </c>
    </row>
    <row r="226" spans="1:9" s="152" customFormat="1" ht="16.5">
      <c r="A226" s="66" t="s">
        <v>190</v>
      </c>
      <c r="B226" s="101">
        <v>701</v>
      </c>
      <c r="C226" s="105" t="s">
        <v>362</v>
      </c>
      <c r="D226" s="105" t="s">
        <v>367</v>
      </c>
      <c r="E226" s="141" t="s">
        <v>191</v>
      </c>
      <c r="F226" s="101"/>
      <c r="G226" s="106">
        <f>G227</f>
        <v>65230966.15</v>
      </c>
      <c r="H226" s="106">
        <f>H227</f>
        <v>83274533</v>
      </c>
      <c r="I226" s="106">
        <f>I227</f>
        <v>83274533</v>
      </c>
    </row>
    <row r="227" spans="1:9" s="152" customFormat="1" ht="16.5">
      <c r="A227" s="46" t="s">
        <v>415</v>
      </c>
      <c r="B227" s="101">
        <v>701</v>
      </c>
      <c r="C227" s="107" t="s">
        <v>362</v>
      </c>
      <c r="D227" s="107" t="s">
        <v>367</v>
      </c>
      <c r="E227" s="142" t="s">
        <v>193</v>
      </c>
      <c r="F227" s="98"/>
      <c r="G227" s="108">
        <f>SUM(G228:G231)</f>
        <v>65230966.15</v>
      </c>
      <c r="H227" s="108">
        <f>SUM(H228:H231)</f>
        <v>83274533</v>
      </c>
      <c r="I227" s="108">
        <f>SUM(I228:I231)</f>
        <v>83274533</v>
      </c>
    </row>
    <row r="228" spans="1:9" s="152" customFormat="1" ht="67.5">
      <c r="A228" s="46" t="s">
        <v>194</v>
      </c>
      <c r="B228" s="101">
        <v>701</v>
      </c>
      <c r="C228" s="107" t="s">
        <v>362</v>
      </c>
      <c r="D228" s="107" t="s">
        <v>367</v>
      </c>
      <c r="E228" s="142" t="s">
        <v>193</v>
      </c>
      <c r="F228" s="98">
        <v>100</v>
      </c>
      <c r="G228" s="137">
        <f>'Приложение 4'!F227</f>
        <v>43295487.11</v>
      </c>
      <c r="H228" s="137">
        <f>'Приложение 4'!G227</f>
        <v>51577456</v>
      </c>
      <c r="I228" s="137">
        <f>'Приложение 4'!H227</f>
        <v>51577456</v>
      </c>
    </row>
    <row r="229" spans="1:9" s="152" customFormat="1" ht="33.75">
      <c r="A229" s="48" t="s">
        <v>195</v>
      </c>
      <c r="B229" s="101">
        <v>701</v>
      </c>
      <c r="C229" s="107" t="s">
        <v>362</v>
      </c>
      <c r="D229" s="107" t="s">
        <v>367</v>
      </c>
      <c r="E229" s="142" t="s">
        <v>193</v>
      </c>
      <c r="F229" s="98">
        <v>200</v>
      </c>
      <c r="G229" s="137">
        <f>'Приложение 4'!F228</f>
        <v>9979362.94</v>
      </c>
      <c r="H229" s="137">
        <f>'Приложение 4'!G228</f>
        <v>11142077</v>
      </c>
      <c r="I229" s="137">
        <f>'Приложение 4'!H228</f>
        <v>11142077</v>
      </c>
    </row>
    <row r="230" spans="1:9" s="153" customFormat="1" ht="16.5">
      <c r="A230" s="46" t="s">
        <v>196</v>
      </c>
      <c r="B230" s="101">
        <v>701</v>
      </c>
      <c r="C230" s="107" t="s">
        <v>362</v>
      </c>
      <c r="D230" s="107" t="s">
        <v>367</v>
      </c>
      <c r="E230" s="142" t="s">
        <v>193</v>
      </c>
      <c r="F230" s="98">
        <v>300</v>
      </c>
      <c r="G230" s="137">
        <f>'Приложение 4'!F229</f>
        <v>11956116.1</v>
      </c>
      <c r="H230" s="137">
        <f>'Приложение 4'!G229</f>
        <v>16555000</v>
      </c>
      <c r="I230" s="137">
        <f>'Приложение 4'!H229</f>
        <v>16555000</v>
      </c>
    </row>
    <row r="231" spans="1:9" s="153" customFormat="1" ht="16.5">
      <c r="A231" s="46" t="s">
        <v>197</v>
      </c>
      <c r="B231" s="101">
        <v>701</v>
      </c>
      <c r="C231" s="107" t="s">
        <v>362</v>
      </c>
      <c r="D231" s="107" t="s">
        <v>367</v>
      </c>
      <c r="E231" s="142" t="s">
        <v>193</v>
      </c>
      <c r="F231" s="98">
        <v>800</v>
      </c>
      <c r="G231" s="137">
        <f>'Приложение 4'!F230</f>
        <v>0</v>
      </c>
      <c r="H231" s="137">
        <f>'Приложение 4'!G230</f>
        <v>4000000</v>
      </c>
      <c r="I231" s="137">
        <f>'Приложение 4'!H230</f>
        <v>4000000</v>
      </c>
    </row>
    <row r="232" spans="1:9" s="153" customFormat="1" ht="16.5">
      <c r="A232" s="70" t="s">
        <v>311</v>
      </c>
      <c r="B232" s="101">
        <v>701</v>
      </c>
      <c r="C232" s="107" t="s">
        <v>362</v>
      </c>
      <c r="D232" s="107" t="s">
        <v>367</v>
      </c>
      <c r="E232" s="113" t="s">
        <v>312</v>
      </c>
      <c r="F232" s="101"/>
      <c r="G232" s="137">
        <f aca="true" t="shared" si="18" ref="G232:I233">G233</f>
        <v>50000</v>
      </c>
      <c r="H232" s="137">
        <f t="shared" si="18"/>
        <v>0</v>
      </c>
      <c r="I232" s="137">
        <f t="shared" si="18"/>
        <v>0</v>
      </c>
    </row>
    <row r="233" spans="1:9" s="153" customFormat="1" ht="16.5">
      <c r="A233" s="48" t="s">
        <v>331</v>
      </c>
      <c r="B233" s="101">
        <v>701</v>
      </c>
      <c r="C233" s="107" t="s">
        <v>362</v>
      </c>
      <c r="D233" s="107" t="s">
        <v>367</v>
      </c>
      <c r="E233" s="112" t="s">
        <v>332</v>
      </c>
      <c r="F233" s="98"/>
      <c r="G233" s="137">
        <f t="shared" si="18"/>
        <v>50000</v>
      </c>
      <c r="H233" s="137">
        <f t="shared" si="18"/>
        <v>0</v>
      </c>
      <c r="I233" s="137">
        <f t="shared" si="18"/>
        <v>0</v>
      </c>
    </row>
    <row r="234" spans="1:9" s="153" customFormat="1" ht="33.75">
      <c r="A234" s="48" t="s">
        <v>195</v>
      </c>
      <c r="B234" s="101">
        <v>701</v>
      </c>
      <c r="C234" s="107" t="s">
        <v>362</v>
      </c>
      <c r="D234" s="107" t="s">
        <v>367</v>
      </c>
      <c r="E234" s="112" t="s">
        <v>332</v>
      </c>
      <c r="F234" s="98">
        <v>200</v>
      </c>
      <c r="G234" s="137">
        <f>'Приложение 4'!F233</f>
        <v>50000</v>
      </c>
      <c r="H234" s="137">
        <v>0</v>
      </c>
      <c r="I234" s="137">
        <v>0</v>
      </c>
    </row>
    <row r="235" spans="1:9" s="152" customFormat="1" ht="16.5">
      <c r="A235" s="66" t="s">
        <v>368</v>
      </c>
      <c r="B235" s="101">
        <v>701</v>
      </c>
      <c r="C235" s="105" t="s">
        <v>369</v>
      </c>
      <c r="D235" s="105"/>
      <c r="E235" s="101"/>
      <c r="F235" s="101"/>
      <c r="G235" s="106">
        <f>G236+G260</f>
        <v>144149155.20000002</v>
      </c>
      <c r="H235" s="106">
        <f>H236+H260</f>
        <v>140336400</v>
      </c>
      <c r="I235" s="106">
        <f>I236+I260</f>
        <v>140336400</v>
      </c>
    </row>
    <row r="236" spans="1:9" s="152" customFormat="1" ht="16.5">
      <c r="A236" s="66" t="s">
        <v>370</v>
      </c>
      <c r="B236" s="101">
        <v>701</v>
      </c>
      <c r="C236" s="105" t="s">
        <v>369</v>
      </c>
      <c r="D236" s="105" t="s">
        <v>308</v>
      </c>
      <c r="E236" s="101"/>
      <c r="F236" s="101"/>
      <c r="G236" s="106">
        <f>G237+G254+G257</f>
        <v>104350487.67000002</v>
      </c>
      <c r="H236" s="106">
        <f>H237+H254+H257</f>
        <v>110420700</v>
      </c>
      <c r="I236" s="106">
        <f>I237+I254+I257</f>
        <v>110420700</v>
      </c>
    </row>
    <row r="237" spans="1:9" s="153" customFormat="1" ht="16.5">
      <c r="A237" s="66" t="s">
        <v>209</v>
      </c>
      <c r="B237" s="101">
        <v>701</v>
      </c>
      <c r="C237" s="105" t="s">
        <v>369</v>
      </c>
      <c r="D237" s="105" t="s">
        <v>308</v>
      </c>
      <c r="E237" s="141" t="s">
        <v>210</v>
      </c>
      <c r="F237" s="101"/>
      <c r="G237" s="106">
        <f>G238+G241+G252</f>
        <v>103161476.55000001</v>
      </c>
      <c r="H237" s="106">
        <f>H238+H241+H252</f>
        <v>109520700</v>
      </c>
      <c r="I237" s="106">
        <f>I238+I241+I252</f>
        <v>109520700</v>
      </c>
    </row>
    <row r="238" spans="1:9" s="153" customFormat="1" ht="16.5">
      <c r="A238" s="46" t="s">
        <v>212</v>
      </c>
      <c r="B238" s="101">
        <v>701</v>
      </c>
      <c r="C238" s="107" t="s">
        <v>369</v>
      </c>
      <c r="D238" s="107" t="s">
        <v>308</v>
      </c>
      <c r="E238" s="142" t="s">
        <v>213</v>
      </c>
      <c r="F238" s="98"/>
      <c r="G238" s="108">
        <f>SUM(G239:G240)</f>
        <v>2248800</v>
      </c>
      <c r="H238" s="108">
        <f>SUM(H239:H240)</f>
        <v>2480300</v>
      </c>
      <c r="I238" s="108">
        <f>SUM(I239:I240)</f>
        <v>2480300</v>
      </c>
    </row>
    <row r="239" spans="1:9" s="152" customFormat="1" ht="33.75">
      <c r="A239" s="48" t="s">
        <v>195</v>
      </c>
      <c r="B239" s="101">
        <v>701</v>
      </c>
      <c r="C239" s="107" t="s">
        <v>369</v>
      </c>
      <c r="D239" s="107" t="s">
        <v>308</v>
      </c>
      <c r="E239" s="142" t="s">
        <v>213</v>
      </c>
      <c r="F239" s="98">
        <v>200</v>
      </c>
      <c r="G239" s="108">
        <f>'Приложение 4'!F238</f>
        <v>2238800</v>
      </c>
      <c r="H239" s="108">
        <f>'Приложение 4'!G238</f>
        <v>2470300</v>
      </c>
      <c r="I239" s="108">
        <f>'Приложение 4'!H238</f>
        <v>2470300</v>
      </c>
    </row>
    <row r="240" spans="1:9" s="153" customFormat="1" ht="16.5">
      <c r="A240" s="46" t="s">
        <v>197</v>
      </c>
      <c r="B240" s="101">
        <v>701</v>
      </c>
      <c r="C240" s="107" t="s">
        <v>369</v>
      </c>
      <c r="D240" s="107" t="s">
        <v>308</v>
      </c>
      <c r="E240" s="142" t="s">
        <v>213</v>
      </c>
      <c r="F240" s="98">
        <v>800</v>
      </c>
      <c r="G240" s="108">
        <f>'Приложение 4'!F239</f>
        <v>10000</v>
      </c>
      <c r="H240" s="108">
        <f>'Приложение 4'!G239</f>
        <v>10000</v>
      </c>
      <c r="I240" s="108">
        <f>'Приложение 4'!H239</f>
        <v>10000</v>
      </c>
    </row>
    <row r="241" spans="1:9" s="153" customFormat="1" ht="51">
      <c r="A241" s="154" t="s">
        <v>416</v>
      </c>
      <c r="B241" s="101">
        <v>701</v>
      </c>
      <c r="C241" s="107" t="s">
        <v>369</v>
      </c>
      <c r="D241" s="107" t="s">
        <v>308</v>
      </c>
      <c r="E241" s="142" t="s">
        <v>215</v>
      </c>
      <c r="F241" s="98"/>
      <c r="G241" s="108">
        <f>G242+G247</f>
        <v>100912676.55000001</v>
      </c>
      <c r="H241" s="108">
        <f>H242+H247</f>
        <v>107040400</v>
      </c>
      <c r="I241" s="108">
        <f>I242+I247</f>
        <v>107040400</v>
      </c>
    </row>
    <row r="242" spans="1:9" s="153" customFormat="1" ht="16.5">
      <c r="A242" s="155" t="s">
        <v>640</v>
      </c>
      <c r="B242" s="101">
        <v>701</v>
      </c>
      <c r="C242" s="107" t="s">
        <v>369</v>
      </c>
      <c r="D242" s="107" t="s">
        <v>308</v>
      </c>
      <c r="E242" s="142" t="s">
        <v>297</v>
      </c>
      <c r="F242" s="98"/>
      <c r="G242" s="108">
        <f>SUM(G243:G246)</f>
        <v>79917494.15</v>
      </c>
      <c r="H242" s="108">
        <f>SUM(H243:H246)</f>
        <v>83746900</v>
      </c>
      <c r="I242" s="108">
        <f>SUM(I243:I246)</f>
        <v>83746900</v>
      </c>
    </row>
    <row r="243" spans="1:9" s="153" customFormat="1" ht="67.5">
      <c r="A243" s="46" t="s">
        <v>194</v>
      </c>
      <c r="B243" s="101">
        <v>701</v>
      </c>
      <c r="C243" s="107" t="s">
        <v>369</v>
      </c>
      <c r="D243" s="107" t="s">
        <v>308</v>
      </c>
      <c r="E243" s="142" t="s">
        <v>297</v>
      </c>
      <c r="F243" s="98">
        <v>100</v>
      </c>
      <c r="G243" s="137">
        <f>'Приложение 4'!F242</f>
        <v>62335468.550000004</v>
      </c>
      <c r="H243" s="137">
        <f>'Приложение 4'!G242</f>
        <v>63476900</v>
      </c>
      <c r="I243" s="137">
        <f>'Приложение 4'!H242</f>
        <v>63476900</v>
      </c>
    </row>
    <row r="244" spans="1:9" s="153" customFormat="1" ht="33.75">
      <c r="A244" s="48" t="s">
        <v>195</v>
      </c>
      <c r="B244" s="101">
        <v>701</v>
      </c>
      <c r="C244" s="107" t="s">
        <v>369</v>
      </c>
      <c r="D244" s="107" t="s">
        <v>308</v>
      </c>
      <c r="E244" s="142" t="s">
        <v>297</v>
      </c>
      <c r="F244" s="98">
        <v>200</v>
      </c>
      <c r="G244" s="137">
        <f>'Приложение 4'!F243</f>
        <v>16674742</v>
      </c>
      <c r="H244" s="137">
        <f>'Приложение 4'!G243</f>
        <v>19748900</v>
      </c>
      <c r="I244" s="137">
        <f>'Приложение 4'!H243</f>
        <v>19748900</v>
      </c>
    </row>
    <row r="245" spans="1:9" s="153" customFormat="1" ht="16.5">
      <c r="A245" s="46" t="s">
        <v>196</v>
      </c>
      <c r="B245" s="101">
        <v>701</v>
      </c>
      <c r="C245" s="107" t="s">
        <v>369</v>
      </c>
      <c r="D245" s="107" t="s">
        <v>308</v>
      </c>
      <c r="E245" s="142" t="s">
        <v>297</v>
      </c>
      <c r="F245" s="98">
        <v>300</v>
      </c>
      <c r="G245" s="137">
        <f>'Приложение 4'!F244</f>
        <v>143183.6</v>
      </c>
      <c r="H245" s="137">
        <f>'Приложение 4'!G244</f>
        <v>0</v>
      </c>
      <c r="I245" s="137">
        <f>'Приложение 4'!H244</f>
        <v>0</v>
      </c>
    </row>
    <row r="246" spans="1:9" s="153" customFormat="1" ht="16.5">
      <c r="A246" s="46" t="s">
        <v>197</v>
      </c>
      <c r="B246" s="101">
        <v>701</v>
      </c>
      <c r="C246" s="107" t="s">
        <v>369</v>
      </c>
      <c r="D246" s="107" t="s">
        <v>308</v>
      </c>
      <c r="E246" s="142" t="s">
        <v>297</v>
      </c>
      <c r="F246" s="98">
        <v>800</v>
      </c>
      <c r="G246" s="137">
        <f>'Приложение 4'!F245</f>
        <v>764100</v>
      </c>
      <c r="H246" s="137">
        <f>'Приложение 4'!G245</f>
        <v>521100</v>
      </c>
      <c r="I246" s="137">
        <f>'Приложение 4'!H245</f>
        <v>521100</v>
      </c>
    </row>
    <row r="247" spans="1:9" s="153" customFormat="1" ht="16.5">
      <c r="A247" s="46" t="s">
        <v>641</v>
      </c>
      <c r="B247" s="101">
        <v>701</v>
      </c>
      <c r="C247" s="107" t="s">
        <v>369</v>
      </c>
      <c r="D247" s="107" t="s">
        <v>308</v>
      </c>
      <c r="E247" s="142" t="s">
        <v>298</v>
      </c>
      <c r="F247" s="98"/>
      <c r="G247" s="137">
        <f>SUM(G248:G251)</f>
        <v>20995182.4</v>
      </c>
      <c r="H247" s="137">
        <f>SUM(H248:H251)</f>
        <v>23293500</v>
      </c>
      <c r="I247" s="137">
        <f>SUM(I248:I251)</f>
        <v>23293500</v>
      </c>
    </row>
    <row r="248" spans="1:9" s="153" customFormat="1" ht="67.5">
      <c r="A248" s="46" t="s">
        <v>194</v>
      </c>
      <c r="B248" s="101">
        <v>701</v>
      </c>
      <c r="C248" s="107" t="s">
        <v>369</v>
      </c>
      <c r="D248" s="107" t="s">
        <v>308</v>
      </c>
      <c r="E248" s="142" t="s">
        <v>298</v>
      </c>
      <c r="F248" s="98">
        <v>100</v>
      </c>
      <c r="G248" s="137">
        <f>'Приложение 4'!F247</f>
        <v>19546965.4</v>
      </c>
      <c r="H248" s="137">
        <f>'Приложение 4'!G247</f>
        <v>20169700</v>
      </c>
      <c r="I248" s="137">
        <f>'Приложение 4'!H247</f>
        <v>20169700</v>
      </c>
    </row>
    <row r="249" spans="1:9" s="153" customFormat="1" ht="33.75">
      <c r="A249" s="48" t="s">
        <v>195</v>
      </c>
      <c r="B249" s="101">
        <v>701</v>
      </c>
      <c r="C249" s="107" t="s">
        <v>369</v>
      </c>
      <c r="D249" s="107" t="s">
        <v>308</v>
      </c>
      <c r="E249" s="142" t="s">
        <v>298</v>
      </c>
      <c r="F249" s="98">
        <v>200</v>
      </c>
      <c r="G249" s="137">
        <f>'Приложение 4'!F248</f>
        <v>1354000</v>
      </c>
      <c r="H249" s="137">
        <f>'Приложение 4'!G248</f>
        <v>3036200</v>
      </c>
      <c r="I249" s="137">
        <f>'Приложение 4'!H248</f>
        <v>3036200</v>
      </c>
    </row>
    <row r="250" spans="1:9" s="153" customFormat="1" ht="16.5">
      <c r="A250" s="48" t="s">
        <v>196</v>
      </c>
      <c r="B250" s="101">
        <v>701</v>
      </c>
      <c r="C250" s="107" t="s">
        <v>369</v>
      </c>
      <c r="D250" s="107" t="s">
        <v>308</v>
      </c>
      <c r="E250" s="142" t="s">
        <v>298</v>
      </c>
      <c r="F250" s="98">
        <v>300</v>
      </c>
      <c r="G250" s="137">
        <f>'Приложение 4'!F249</f>
        <v>86482</v>
      </c>
      <c r="H250" s="137">
        <f>'Приложение 4'!G249</f>
        <v>0</v>
      </c>
      <c r="I250" s="137">
        <f>'Приложение 4'!H249</f>
        <v>0</v>
      </c>
    </row>
    <row r="251" spans="1:9" s="153" customFormat="1" ht="16.5">
      <c r="A251" s="46" t="s">
        <v>197</v>
      </c>
      <c r="B251" s="101">
        <v>701</v>
      </c>
      <c r="C251" s="107" t="s">
        <v>369</v>
      </c>
      <c r="D251" s="107" t="s">
        <v>308</v>
      </c>
      <c r="E251" s="142" t="s">
        <v>298</v>
      </c>
      <c r="F251" s="98">
        <v>800</v>
      </c>
      <c r="G251" s="137">
        <f>'Приложение 4'!F250</f>
        <v>7735</v>
      </c>
      <c r="H251" s="137">
        <f>'Приложение 4'!G250</f>
        <v>87600</v>
      </c>
      <c r="I251" s="137">
        <f>'Приложение 4'!H250</f>
        <v>87600</v>
      </c>
    </row>
    <row r="252" spans="1:9" s="152" customFormat="1" ht="33.75" hidden="1">
      <c r="A252" s="67" t="s">
        <v>218</v>
      </c>
      <c r="B252" s="101">
        <v>701</v>
      </c>
      <c r="C252" s="105" t="s">
        <v>369</v>
      </c>
      <c r="D252" s="105" t="s">
        <v>308</v>
      </c>
      <c r="E252" s="141" t="s">
        <v>219</v>
      </c>
      <c r="F252" s="101"/>
      <c r="G252" s="156">
        <f>G253</f>
        <v>0</v>
      </c>
      <c r="H252" s="156">
        <f>H253</f>
        <v>0</v>
      </c>
      <c r="I252" s="156">
        <f>I253</f>
        <v>0</v>
      </c>
    </row>
    <row r="253" spans="1:9" s="153" customFormat="1" ht="33.75" hidden="1">
      <c r="A253" s="46" t="s">
        <v>220</v>
      </c>
      <c r="B253" s="101">
        <v>701</v>
      </c>
      <c r="C253" s="107" t="s">
        <v>369</v>
      </c>
      <c r="D253" s="107" t="s">
        <v>308</v>
      </c>
      <c r="E253" s="142" t="s">
        <v>219</v>
      </c>
      <c r="F253" s="98">
        <v>400</v>
      </c>
      <c r="G253" s="137">
        <v>0</v>
      </c>
      <c r="H253" s="137">
        <v>0</v>
      </c>
      <c r="I253" s="137">
        <v>0</v>
      </c>
    </row>
    <row r="254" spans="1:9" s="153" customFormat="1" ht="33.75">
      <c r="A254" s="66" t="s">
        <v>293</v>
      </c>
      <c r="B254" s="101">
        <v>701</v>
      </c>
      <c r="C254" s="107" t="s">
        <v>369</v>
      </c>
      <c r="D254" s="107" t="s">
        <v>308</v>
      </c>
      <c r="E254" s="141" t="s">
        <v>417</v>
      </c>
      <c r="F254" s="101"/>
      <c r="G254" s="156">
        <f aca="true" t="shared" si="19" ref="G254:I255">G255</f>
        <v>1189011.12</v>
      </c>
      <c r="H254" s="156">
        <f t="shared" si="19"/>
        <v>0</v>
      </c>
      <c r="I254" s="156">
        <f t="shared" si="19"/>
        <v>0</v>
      </c>
    </row>
    <row r="255" spans="1:9" s="153" customFormat="1" ht="33.75">
      <c r="A255" s="66" t="s">
        <v>294</v>
      </c>
      <c r="B255" s="101">
        <v>701</v>
      </c>
      <c r="C255" s="107" t="s">
        <v>369</v>
      </c>
      <c r="D255" s="107" t="s">
        <v>308</v>
      </c>
      <c r="E255" s="141" t="s">
        <v>418</v>
      </c>
      <c r="F255" s="101"/>
      <c r="G255" s="156">
        <f t="shared" si="19"/>
        <v>1189011.12</v>
      </c>
      <c r="H255" s="156">
        <f t="shared" si="19"/>
        <v>0</v>
      </c>
      <c r="I255" s="156">
        <f t="shared" si="19"/>
        <v>0</v>
      </c>
    </row>
    <row r="256" spans="1:9" s="153" customFormat="1" ht="33.75">
      <c r="A256" s="46" t="s">
        <v>220</v>
      </c>
      <c r="B256" s="101">
        <v>701</v>
      </c>
      <c r="C256" s="107" t="s">
        <v>369</v>
      </c>
      <c r="D256" s="107" t="s">
        <v>308</v>
      </c>
      <c r="E256" s="142" t="s">
        <v>418</v>
      </c>
      <c r="F256" s="98">
        <v>400</v>
      </c>
      <c r="G256" s="137">
        <f>'Приложение 2'!D178</f>
        <v>1189011.12</v>
      </c>
      <c r="H256" s="137">
        <f>'Приложение 2'!E178</f>
        <v>0</v>
      </c>
      <c r="I256" s="137">
        <f>'Приложение 2'!F178</f>
        <v>0</v>
      </c>
    </row>
    <row r="257" spans="1:9" s="152" customFormat="1" ht="16.5">
      <c r="A257" s="70" t="s">
        <v>311</v>
      </c>
      <c r="B257" s="101">
        <v>701</v>
      </c>
      <c r="C257" s="105" t="s">
        <v>369</v>
      </c>
      <c r="D257" s="105" t="s">
        <v>308</v>
      </c>
      <c r="E257" s="105" t="s">
        <v>312</v>
      </c>
      <c r="F257" s="101"/>
      <c r="G257" s="156">
        <f aca="true" t="shared" si="20" ref="G257:I258">G258</f>
        <v>0</v>
      </c>
      <c r="H257" s="156">
        <f t="shared" si="20"/>
        <v>900000</v>
      </c>
      <c r="I257" s="156">
        <f t="shared" si="20"/>
        <v>900000</v>
      </c>
    </row>
    <row r="258" spans="1:9" s="153" customFormat="1" ht="16.5">
      <c r="A258" s="48" t="s">
        <v>331</v>
      </c>
      <c r="B258" s="101">
        <v>701</v>
      </c>
      <c r="C258" s="107" t="s">
        <v>369</v>
      </c>
      <c r="D258" s="107" t="s">
        <v>308</v>
      </c>
      <c r="E258" s="107" t="s">
        <v>332</v>
      </c>
      <c r="F258" s="98"/>
      <c r="G258" s="137">
        <f t="shared" si="20"/>
        <v>0</v>
      </c>
      <c r="H258" s="137">
        <f t="shared" si="20"/>
        <v>900000</v>
      </c>
      <c r="I258" s="137">
        <f t="shared" si="20"/>
        <v>900000</v>
      </c>
    </row>
    <row r="259" spans="1:9" s="153" customFormat="1" ht="33.75">
      <c r="A259" s="48" t="s">
        <v>195</v>
      </c>
      <c r="B259" s="101">
        <v>701</v>
      </c>
      <c r="C259" s="107" t="s">
        <v>369</v>
      </c>
      <c r="D259" s="107" t="s">
        <v>308</v>
      </c>
      <c r="E259" s="107" t="s">
        <v>332</v>
      </c>
      <c r="F259" s="98">
        <v>200</v>
      </c>
      <c r="G259" s="137">
        <f>'Приложение 4'!F258</f>
        <v>0</v>
      </c>
      <c r="H259" s="137">
        <f>'Приложение 4'!G258</f>
        <v>900000</v>
      </c>
      <c r="I259" s="137">
        <f>'Приложение 4'!H258</f>
        <v>900000</v>
      </c>
    </row>
    <row r="260" spans="1:9" s="152" customFormat="1" ht="16.5">
      <c r="A260" s="66" t="s">
        <v>419</v>
      </c>
      <c r="B260" s="101">
        <v>701</v>
      </c>
      <c r="C260" s="105" t="s">
        <v>369</v>
      </c>
      <c r="D260" s="105" t="s">
        <v>322</v>
      </c>
      <c r="E260" s="101"/>
      <c r="F260" s="101"/>
      <c r="G260" s="106">
        <f aca="true" t="shared" si="21" ref="G260:I261">G261</f>
        <v>39798667.529999994</v>
      </c>
      <c r="H260" s="106">
        <f t="shared" si="21"/>
        <v>29915700</v>
      </c>
      <c r="I260" s="106">
        <f t="shared" si="21"/>
        <v>29915700</v>
      </c>
    </row>
    <row r="261" spans="1:9" s="153" customFormat="1" ht="16.5">
      <c r="A261" s="66" t="s">
        <v>209</v>
      </c>
      <c r="B261" s="101">
        <v>701</v>
      </c>
      <c r="C261" s="105" t="s">
        <v>369</v>
      </c>
      <c r="D261" s="105" t="s">
        <v>322</v>
      </c>
      <c r="E261" s="141" t="s">
        <v>210</v>
      </c>
      <c r="F261" s="101"/>
      <c r="G261" s="108">
        <f t="shared" si="21"/>
        <v>39798667.529999994</v>
      </c>
      <c r="H261" s="108">
        <f t="shared" si="21"/>
        <v>29915700</v>
      </c>
      <c r="I261" s="108">
        <f t="shared" si="21"/>
        <v>29915700</v>
      </c>
    </row>
    <row r="262" spans="1:9" s="153" customFormat="1" ht="16.5">
      <c r="A262" s="46" t="s">
        <v>192</v>
      </c>
      <c r="B262" s="101">
        <v>701</v>
      </c>
      <c r="C262" s="107" t="s">
        <v>369</v>
      </c>
      <c r="D262" s="107" t="s">
        <v>322</v>
      </c>
      <c r="E262" s="142" t="s">
        <v>211</v>
      </c>
      <c r="F262" s="98"/>
      <c r="G262" s="108">
        <f>G263+G264+G266+G265</f>
        <v>39798667.529999994</v>
      </c>
      <c r="H262" s="108">
        <f>H263+H264+H266+H265</f>
        <v>29915700</v>
      </c>
      <c r="I262" s="108">
        <f>I263+I264+I266+I265</f>
        <v>29915700</v>
      </c>
    </row>
    <row r="263" spans="1:9" s="152" customFormat="1" ht="67.5">
      <c r="A263" s="46" t="s">
        <v>194</v>
      </c>
      <c r="B263" s="101">
        <v>701</v>
      </c>
      <c r="C263" s="107" t="s">
        <v>369</v>
      </c>
      <c r="D263" s="107" t="s">
        <v>322</v>
      </c>
      <c r="E263" s="142" t="s">
        <v>211</v>
      </c>
      <c r="F263" s="98">
        <v>100</v>
      </c>
      <c r="G263" s="109">
        <f>'Приложение 4'!F262</f>
        <v>22174453.819999997</v>
      </c>
      <c r="H263" s="109">
        <f>'Приложение 4'!G262</f>
        <v>22773700</v>
      </c>
      <c r="I263" s="109">
        <f>'Приложение 4'!H262</f>
        <v>22773700</v>
      </c>
    </row>
    <row r="264" spans="1:9" s="157" customFormat="1" ht="33.75">
      <c r="A264" s="48" t="s">
        <v>195</v>
      </c>
      <c r="B264" s="101">
        <v>701</v>
      </c>
      <c r="C264" s="107" t="s">
        <v>369</v>
      </c>
      <c r="D264" s="107" t="s">
        <v>322</v>
      </c>
      <c r="E264" s="142" t="s">
        <v>211</v>
      </c>
      <c r="F264" s="98">
        <v>200</v>
      </c>
      <c r="G264" s="109">
        <f>'Приложение 4'!F263</f>
        <v>6190480</v>
      </c>
      <c r="H264" s="109">
        <f>'Приложение 4'!G263</f>
        <v>7131700</v>
      </c>
      <c r="I264" s="109">
        <f>'Приложение 4'!H263</f>
        <v>7131700</v>
      </c>
    </row>
    <row r="265" spans="1:9" s="157" customFormat="1" ht="16.5">
      <c r="A265" s="48" t="s">
        <v>196</v>
      </c>
      <c r="B265" s="101">
        <v>701</v>
      </c>
      <c r="C265" s="107" t="s">
        <v>369</v>
      </c>
      <c r="D265" s="107" t="s">
        <v>322</v>
      </c>
      <c r="E265" s="142" t="s">
        <v>211</v>
      </c>
      <c r="F265" s="98">
        <v>300</v>
      </c>
      <c r="G265" s="109">
        <f>'Приложение 4'!F264</f>
        <v>399266.70999999996</v>
      </c>
      <c r="H265" s="109">
        <f>'Приложение 4'!G264</f>
        <v>0</v>
      </c>
      <c r="I265" s="109">
        <f>'Приложение 4'!H264</f>
        <v>0</v>
      </c>
    </row>
    <row r="266" spans="1:9" s="152" customFormat="1" ht="16.5">
      <c r="A266" s="46" t="s">
        <v>197</v>
      </c>
      <c r="B266" s="101">
        <v>701</v>
      </c>
      <c r="C266" s="107" t="s">
        <v>369</v>
      </c>
      <c r="D266" s="107" t="s">
        <v>322</v>
      </c>
      <c r="E266" s="142" t="s">
        <v>211</v>
      </c>
      <c r="F266" s="98">
        <v>800</v>
      </c>
      <c r="G266" s="109">
        <f>'Приложение 4'!F265</f>
        <v>11034467</v>
      </c>
      <c r="H266" s="109">
        <f>'Приложение 4'!G265</f>
        <v>10300</v>
      </c>
      <c r="I266" s="109">
        <f>'Приложение 4'!H265</f>
        <v>10300</v>
      </c>
    </row>
    <row r="267" spans="1:9" s="152" customFormat="1" ht="16.5">
      <c r="A267" s="66" t="s">
        <v>371</v>
      </c>
      <c r="B267" s="101">
        <v>701</v>
      </c>
      <c r="C267" s="105" t="s">
        <v>367</v>
      </c>
      <c r="D267" s="105"/>
      <c r="E267" s="141"/>
      <c r="F267" s="101"/>
      <c r="G267" s="111">
        <f>G268</f>
        <v>35987448.38</v>
      </c>
      <c r="H267" s="111">
        <f>H268</f>
        <v>0</v>
      </c>
      <c r="I267" s="111">
        <f>I268</f>
        <v>0</v>
      </c>
    </row>
    <row r="268" spans="1:9" s="152" customFormat="1" ht="16.5">
      <c r="A268" s="66" t="s">
        <v>372</v>
      </c>
      <c r="B268" s="101">
        <v>701</v>
      </c>
      <c r="C268" s="105" t="s">
        <v>367</v>
      </c>
      <c r="D268" s="105" t="s">
        <v>367</v>
      </c>
      <c r="E268" s="141"/>
      <c r="F268" s="101"/>
      <c r="G268" s="111">
        <f>G269+G272</f>
        <v>35987448.38</v>
      </c>
      <c r="H268" s="111">
        <f>H269+H272</f>
        <v>0</v>
      </c>
      <c r="I268" s="111">
        <f>I269+I272</f>
        <v>0</v>
      </c>
    </row>
    <row r="269" spans="1:9" s="152" customFormat="1" ht="16.5">
      <c r="A269" s="70" t="s">
        <v>291</v>
      </c>
      <c r="B269" s="101">
        <v>701</v>
      </c>
      <c r="C269" s="105" t="s">
        <v>367</v>
      </c>
      <c r="D269" s="105" t="s">
        <v>367</v>
      </c>
      <c r="E269" s="143">
        <v>1300000000</v>
      </c>
      <c r="F269" s="143"/>
      <c r="G269" s="109">
        <f aca="true" t="shared" si="22" ref="G269:I270">G270</f>
        <v>35987448.38</v>
      </c>
      <c r="H269" s="109">
        <f t="shared" si="22"/>
        <v>0</v>
      </c>
      <c r="I269" s="109">
        <f t="shared" si="22"/>
        <v>0</v>
      </c>
    </row>
    <row r="270" spans="1:9" s="153" customFormat="1" ht="51">
      <c r="A270" s="158" t="s">
        <v>292</v>
      </c>
      <c r="B270" s="101">
        <v>701</v>
      </c>
      <c r="C270" s="107" t="s">
        <v>367</v>
      </c>
      <c r="D270" s="107" t="s">
        <v>367</v>
      </c>
      <c r="E270" s="125">
        <v>1320000000</v>
      </c>
      <c r="F270" s="125"/>
      <c r="G270" s="109">
        <f t="shared" si="22"/>
        <v>35987448.38</v>
      </c>
      <c r="H270" s="109">
        <f t="shared" si="22"/>
        <v>0</v>
      </c>
      <c r="I270" s="109">
        <f t="shared" si="22"/>
        <v>0</v>
      </c>
    </row>
    <row r="271" spans="1:9" s="153" customFormat="1" ht="33.75">
      <c r="A271" s="48" t="s">
        <v>195</v>
      </c>
      <c r="B271" s="101">
        <v>701</v>
      </c>
      <c r="C271" s="107" t="s">
        <v>367</v>
      </c>
      <c r="D271" s="107" t="s">
        <v>367</v>
      </c>
      <c r="E271" s="125">
        <v>1320000000</v>
      </c>
      <c r="F271" s="125">
        <v>200</v>
      </c>
      <c r="G271" s="109">
        <f>'Приложение 4'!F270</f>
        <v>35987448.38</v>
      </c>
      <c r="H271" s="109">
        <f>'Приложение 4'!G270</f>
        <v>0</v>
      </c>
      <c r="I271" s="109">
        <f>'Приложение 4'!H270</f>
        <v>0</v>
      </c>
    </row>
    <row r="272" spans="1:9" s="153" customFormat="1" ht="16.5" hidden="1">
      <c r="A272" s="70" t="s">
        <v>311</v>
      </c>
      <c r="B272" s="101">
        <v>701</v>
      </c>
      <c r="C272" s="105" t="s">
        <v>367</v>
      </c>
      <c r="D272" s="105" t="s">
        <v>367</v>
      </c>
      <c r="E272" s="105" t="s">
        <v>312</v>
      </c>
      <c r="F272" s="125"/>
      <c r="G272" s="111">
        <f aca="true" t="shared" si="23" ref="G272:I273">G273</f>
        <v>0</v>
      </c>
      <c r="H272" s="111">
        <f t="shared" si="23"/>
        <v>0</v>
      </c>
      <c r="I272" s="111">
        <f t="shared" si="23"/>
        <v>0</v>
      </c>
    </row>
    <row r="273" spans="1:9" s="153" customFormat="1" ht="16.5" hidden="1">
      <c r="A273" s="48" t="s">
        <v>331</v>
      </c>
      <c r="B273" s="101">
        <v>701</v>
      </c>
      <c r="C273" s="107" t="s">
        <v>367</v>
      </c>
      <c r="D273" s="107" t="s">
        <v>367</v>
      </c>
      <c r="E273" s="107" t="s">
        <v>332</v>
      </c>
      <c r="F273" s="125"/>
      <c r="G273" s="109">
        <f t="shared" si="23"/>
        <v>0</v>
      </c>
      <c r="H273" s="109">
        <f t="shared" si="23"/>
        <v>0</v>
      </c>
      <c r="I273" s="109">
        <f t="shared" si="23"/>
        <v>0</v>
      </c>
    </row>
    <row r="274" spans="1:9" s="153" customFormat="1" ht="33.75" hidden="1">
      <c r="A274" s="48" t="s">
        <v>195</v>
      </c>
      <c r="B274" s="101">
        <v>701</v>
      </c>
      <c r="C274" s="107" t="s">
        <v>367</v>
      </c>
      <c r="D274" s="107" t="s">
        <v>367</v>
      </c>
      <c r="E274" s="107" t="s">
        <v>332</v>
      </c>
      <c r="F274" s="125">
        <v>200</v>
      </c>
      <c r="G274" s="109">
        <v>0</v>
      </c>
      <c r="H274" s="109">
        <v>0</v>
      </c>
      <c r="I274" s="109">
        <v>0</v>
      </c>
    </row>
    <row r="275" spans="1:9" s="152" customFormat="1" ht="16.5">
      <c r="A275" s="70" t="s">
        <v>373</v>
      </c>
      <c r="B275" s="101">
        <v>701</v>
      </c>
      <c r="C275" s="105" t="s">
        <v>345</v>
      </c>
      <c r="D275" s="105"/>
      <c r="E275" s="105"/>
      <c r="F275" s="105"/>
      <c r="G275" s="106">
        <f>G276+G283+G297+G314</f>
        <v>138940257.1</v>
      </c>
      <c r="H275" s="106">
        <f>H276+H283+H297+H314</f>
        <v>100837436.25999999</v>
      </c>
      <c r="I275" s="106">
        <f>I276+I283+I297+I314</f>
        <v>100645905.00999999</v>
      </c>
    </row>
    <row r="276" spans="1:9" s="152" customFormat="1" ht="16.5">
      <c r="A276" s="70" t="s">
        <v>374</v>
      </c>
      <c r="B276" s="101">
        <v>701</v>
      </c>
      <c r="C276" s="105" t="s">
        <v>345</v>
      </c>
      <c r="D276" s="105" t="s">
        <v>308</v>
      </c>
      <c r="E276" s="105"/>
      <c r="F276" s="105"/>
      <c r="G276" s="106">
        <f>G277+G280</f>
        <v>9685452.68</v>
      </c>
      <c r="H276" s="106">
        <f>H277+H280</f>
        <v>8199922</v>
      </c>
      <c r="I276" s="106">
        <f>I277+I280</f>
        <v>8095922</v>
      </c>
    </row>
    <row r="277" spans="1:9" s="153" customFormat="1" ht="16.5">
      <c r="A277" s="70" t="s">
        <v>253</v>
      </c>
      <c r="B277" s="101">
        <v>701</v>
      </c>
      <c r="C277" s="105" t="s">
        <v>345</v>
      </c>
      <c r="D277" s="105" t="s">
        <v>308</v>
      </c>
      <c r="E277" s="105" t="s">
        <v>254</v>
      </c>
      <c r="F277" s="105"/>
      <c r="G277" s="106">
        <f aca="true" t="shared" si="24" ref="G277:I278">G278</f>
        <v>5293056</v>
      </c>
      <c r="H277" s="106">
        <f t="shared" si="24"/>
        <v>4327000</v>
      </c>
      <c r="I277" s="106">
        <f t="shared" si="24"/>
        <v>4223000</v>
      </c>
    </row>
    <row r="278" spans="1:9" s="153" customFormat="1" ht="16.5">
      <c r="A278" s="48" t="s">
        <v>255</v>
      </c>
      <c r="B278" s="101">
        <v>701</v>
      </c>
      <c r="C278" s="107" t="s">
        <v>345</v>
      </c>
      <c r="D278" s="107" t="s">
        <v>308</v>
      </c>
      <c r="E278" s="107" t="s">
        <v>256</v>
      </c>
      <c r="F278" s="107"/>
      <c r="G278" s="108">
        <f t="shared" si="24"/>
        <v>5293056</v>
      </c>
      <c r="H278" s="108">
        <f t="shared" si="24"/>
        <v>4327000</v>
      </c>
      <c r="I278" s="108">
        <f t="shared" si="24"/>
        <v>4223000</v>
      </c>
    </row>
    <row r="279" spans="1:9" s="153" customFormat="1" ht="16.5">
      <c r="A279" s="48" t="s">
        <v>196</v>
      </c>
      <c r="B279" s="101">
        <v>701</v>
      </c>
      <c r="C279" s="107" t="s">
        <v>345</v>
      </c>
      <c r="D279" s="107" t="s">
        <v>308</v>
      </c>
      <c r="E279" s="107" t="s">
        <v>256</v>
      </c>
      <c r="F279" s="107" t="s">
        <v>257</v>
      </c>
      <c r="G279" s="108">
        <f>'Приложение 4'!F278</f>
        <v>5293056</v>
      </c>
      <c r="H279" s="108">
        <f>'Приложение 4'!G278</f>
        <v>4327000</v>
      </c>
      <c r="I279" s="108">
        <f>'Приложение 4'!H278</f>
        <v>4223000</v>
      </c>
    </row>
    <row r="280" spans="1:9" s="152" customFormat="1" ht="16.5">
      <c r="A280" s="70" t="s">
        <v>311</v>
      </c>
      <c r="B280" s="101">
        <v>701</v>
      </c>
      <c r="C280" s="105" t="s">
        <v>345</v>
      </c>
      <c r="D280" s="105" t="s">
        <v>308</v>
      </c>
      <c r="E280" s="105" t="s">
        <v>312</v>
      </c>
      <c r="F280" s="105"/>
      <c r="G280" s="106">
        <f aca="true" t="shared" si="25" ref="G280:I281">G281</f>
        <v>4392396.68</v>
      </c>
      <c r="H280" s="106">
        <f t="shared" si="25"/>
        <v>3872922</v>
      </c>
      <c r="I280" s="106">
        <f t="shared" si="25"/>
        <v>3872922</v>
      </c>
    </row>
    <row r="281" spans="1:9" s="153" customFormat="1" ht="16.5">
      <c r="A281" s="48" t="s">
        <v>331</v>
      </c>
      <c r="B281" s="101">
        <v>701</v>
      </c>
      <c r="C281" s="107" t="s">
        <v>345</v>
      </c>
      <c r="D281" s="107" t="s">
        <v>308</v>
      </c>
      <c r="E281" s="107" t="s">
        <v>332</v>
      </c>
      <c r="F281" s="107"/>
      <c r="G281" s="108">
        <f t="shared" si="25"/>
        <v>4392396.68</v>
      </c>
      <c r="H281" s="108">
        <f t="shared" si="25"/>
        <v>3872922</v>
      </c>
      <c r="I281" s="108">
        <f t="shared" si="25"/>
        <v>3872922</v>
      </c>
    </row>
    <row r="282" spans="1:9" s="152" customFormat="1" ht="16.5">
      <c r="A282" s="48" t="s">
        <v>196</v>
      </c>
      <c r="B282" s="101">
        <v>701</v>
      </c>
      <c r="C282" s="107" t="s">
        <v>345</v>
      </c>
      <c r="D282" s="107" t="s">
        <v>308</v>
      </c>
      <c r="E282" s="107" t="s">
        <v>332</v>
      </c>
      <c r="F282" s="107" t="s">
        <v>257</v>
      </c>
      <c r="G282" s="108">
        <f>'Приложение 4'!F281</f>
        <v>4392396.68</v>
      </c>
      <c r="H282" s="108">
        <f>'Приложение 4'!G281</f>
        <v>3872922</v>
      </c>
      <c r="I282" s="108">
        <f>'Приложение 4'!H281</f>
        <v>3872922</v>
      </c>
    </row>
    <row r="283" spans="1:9" s="152" customFormat="1" ht="16.5">
      <c r="A283" s="70" t="s">
        <v>375</v>
      </c>
      <c r="B283" s="101">
        <v>701</v>
      </c>
      <c r="C283" s="105" t="s">
        <v>345</v>
      </c>
      <c r="D283" s="105" t="s">
        <v>318</v>
      </c>
      <c r="E283" s="105"/>
      <c r="F283" s="105"/>
      <c r="G283" s="106">
        <f>G284+G288+G293</f>
        <v>61936935.92</v>
      </c>
      <c r="H283" s="106">
        <f>H284+H288+H293</f>
        <v>36900000</v>
      </c>
      <c r="I283" s="106">
        <f>I284+I288+I293</f>
        <v>36900000</v>
      </c>
    </row>
    <row r="284" spans="1:9" s="152" customFormat="1" ht="51">
      <c r="A284" s="70" t="s">
        <v>260</v>
      </c>
      <c r="B284" s="101">
        <v>701</v>
      </c>
      <c r="C284" s="105" t="s">
        <v>345</v>
      </c>
      <c r="D284" s="105" t="s">
        <v>318</v>
      </c>
      <c r="E284" s="105" t="s">
        <v>261</v>
      </c>
      <c r="F284" s="105"/>
      <c r="G284" s="106">
        <f>G285</f>
        <v>26099994.999999996</v>
      </c>
      <c r="H284" s="106">
        <f>H285</f>
        <v>30900000</v>
      </c>
      <c r="I284" s="106">
        <f>I285</f>
        <v>30900000</v>
      </c>
    </row>
    <row r="285" spans="1:9" s="138" customFormat="1" ht="16.5">
      <c r="A285" s="48" t="s">
        <v>264</v>
      </c>
      <c r="B285" s="101">
        <v>701</v>
      </c>
      <c r="C285" s="107" t="s">
        <v>345</v>
      </c>
      <c r="D285" s="107" t="s">
        <v>318</v>
      </c>
      <c r="E285" s="107" t="s">
        <v>265</v>
      </c>
      <c r="F285" s="107"/>
      <c r="G285" s="108">
        <f>G286+G287</f>
        <v>26099994.999999996</v>
      </c>
      <c r="H285" s="108">
        <f>H286+H287</f>
        <v>30900000</v>
      </c>
      <c r="I285" s="108">
        <f>I286+I287</f>
        <v>30900000</v>
      </c>
    </row>
    <row r="286" spans="1:9" s="138" customFormat="1" ht="16.5">
      <c r="A286" s="48" t="s">
        <v>196</v>
      </c>
      <c r="B286" s="101">
        <v>701</v>
      </c>
      <c r="C286" s="107" t="s">
        <v>345</v>
      </c>
      <c r="D286" s="107" t="s">
        <v>318</v>
      </c>
      <c r="E286" s="107" t="s">
        <v>265</v>
      </c>
      <c r="F286" s="107" t="s">
        <v>257</v>
      </c>
      <c r="G286" s="108">
        <f>'Приложение 4'!F285</f>
        <v>10699994.999999996</v>
      </c>
      <c r="H286" s="108">
        <f>'Приложение 4'!G285</f>
        <v>15300000</v>
      </c>
      <c r="I286" s="108">
        <f>'Приложение 4'!H285</f>
        <v>15300000</v>
      </c>
    </row>
    <row r="287" spans="1:9" s="138" customFormat="1" ht="33.75">
      <c r="A287" s="48" t="s">
        <v>220</v>
      </c>
      <c r="B287" s="101">
        <v>701</v>
      </c>
      <c r="C287" s="107" t="s">
        <v>345</v>
      </c>
      <c r="D287" s="107" t="s">
        <v>318</v>
      </c>
      <c r="E287" s="107" t="s">
        <v>265</v>
      </c>
      <c r="F287" s="107" t="s">
        <v>266</v>
      </c>
      <c r="G287" s="108">
        <f>'Приложение 4'!F286</f>
        <v>15400000</v>
      </c>
      <c r="H287" s="108">
        <f>'Приложение 4'!G286</f>
        <v>15600000</v>
      </c>
      <c r="I287" s="108">
        <f>'Приложение 4'!H286</f>
        <v>15600000</v>
      </c>
    </row>
    <row r="288" spans="1:9" s="140" customFormat="1" ht="33.75">
      <c r="A288" s="66" t="s">
        <v>286</v>
      </c>
      <c r="B288" s="101">
        <v>701</v>
      </c>
      <c r="C288" s="105" t="s">
        <v>345</v>
      </c>
      <c r="D288" s="105" t="s">
        <v>318</v>
      </c>
      <c r="E288" s="105" t="s">
        <v>420</v>
      </c>
      <c r="F288" s="105"/>
      <c r="G288" s="106">
        <f>G289</f>
        <v>6010228.930000001</v>
      </c>
      <c r="H288" s="106">
        <f>H289</f>
        <v>6000000</v>
      </c>
      <c r="I288" s="106">
        <f>I289</f>
        <v>6000000</v>
      </c>
    </row>
    <row r="289" spans="1:9" s="138" customFormat="1" ht="16.5">
      <c r="A289" s="46" t="s">
        <v>287</v>
      </c>
      <c r="B289" s="101">
        <v>701</v>
      </c>
      <c r="C289" s="107" t="s">
        <v>345</v>
      </c>
      <c r="D289" s="107" t="s">
        <v>318</v>
      </c>
      <c r="E289" s="107" t="s">
        <v>421</v>
      </c>
      <c r="F289" s="107"/>
      <c r="G289" s="108">
        <f>G291+G292+G290</f>
        <v>6010228.930000001</v>
      </c>
      <c r="H289" s="108">
        <f>H291+H292+H290</f>
        <v>6000000</v>
      </c>
      <c r="I289" s="108">
        <f>I291+I292+I290</f>
        <v>6000000</v>
      </c>
    </row>
    <row r="290" spans="1:9" s="138" customFormat="1" ht="67.5">
      <c r="A290" s="46" t="s">
        <v>194</v>
      </c>
      <c r="B290" s="101">
        <v>701</v>
      </c>
      <c r="C290" s="107" t="s">
        <v>345</v>
      </c>
      <c r="D290" s="107" t="s">
        <v>318</v>
      </c>
      <c r="E290" s="107" t="s">
        <v>421</v>
      </c>
      <c r="F290" s="107" t="s">
        <v>229</v>
      </c>
      <c r="G290" s="108">
        <f>'Приложение 4'!F289</f>
        <v>36370</v>
      </c>
      <c r="H290" s="108">
        <f>'Приложение 4'!G289</f>
        <v>0</v>
      </c>
      <c r="I290" s="108">
        <f>'Приложение 4'!H289</f>
        <v>0</v>
      </c>
    </row>
    <row r="291" spans="1:9" s="138" customFormat="1" ht="33.75">
      <c r="A291" s="46" t="s">
        <v>195</v>
      </c>
      <c r="B291" s="101">
        <v>701</v>
      </c>
      <c r="C291" s="107" t="s">
        <v>345</v>
      </c>
      <c r="D291" s="107" t="s">
        <v>318</v>
      </c>
      <c r="E291" s="107" t="s">
        <v>421</v>
      </c>
      <c r="F291" s="107" t="s">
        <v>252</v>
      </c>
      <c r="G291" s="108">
        <f>'Приложение 4'!F290</f>
        <v>273859.4</v>
      </c>
      <c r="H291" s="108">
        <f>'Приложение 4'!G290</f>
        <v>300000</v>
      </c>
      <c r="I291" s="108">
        <f>'Приложение 4'!H290</f>
        <v>300000</v>
      </c>
    </row>
    <row r="292" spans="1:9" s="138" customFormat="1" ht="33.75">
      <c r="A292" s="46" t="s">
        <v>204</v>
      </c>
      <c r="B292" s="101">
        <v>701</v>
      </c>
      <c r="C292" s="107" t="s">
        <v>345</v>
      </c>
      <c r="D292" s="107" t="s">
        <v>318</v>
      </c>
      <c r="E292" s="107" t="s">
        <v>421</v>
      </c>
      <c r="F292" s="107" t="s">
        <v>338</v>
      </c>
      <c r="G292" s="108">
        <f>'Приложение 4'!F291</f>
        <v>5699999.53</v>
      </c>
      <c r="H292" s="108">
        <f>'Приложение 4'!G291</f>
        <v>5700000</v>
      </c>
      <c r="I292" s="108">
        <f>'Приложение 4'!H291</f>
        <v>5700000</v>
      </c>
    </row>
    <row r="293" spans="1:9" s="138" customFormat="1" ht="16.5">
      <c r="A293" s="70" t="s">
        <v>311</v>
      </c>
      <c r="B293" s="101">
        <v>701</v>
      </c>
      <c r="C293" s="105" t="s">
        <v>345</v>
      </c>
      <c r="D293" s="105" t="s">
        <v>318</v>
      </c>
      <c r="E293" s="105" t="s">
        <v>332</v>
      </c>
      <c r="F293" s="105"/>
      <c r="G293" s="106">
        <f>G294</f>
        <v>29826711.990000002</v>
      </c>
      <c r="H293" s="106">
        <f>H294</f>
        <v>0</v>
      </c>
      <c r="I293" s="106">
        <f>I294</f>
        <v>0</v>
      </c>
    </row>
    <row r="294" spans="1:9" s="138" customFormat="1" ht="16.5">
      <c r="A294" s="48" t="s">
        <v>331</v>
      </c>
      <c r="B294" s="101">
        <v>701</v>
      </c>
      <c r="C294" s="107" t="s">
        <v>345</v>
      </c>
      <c r="D294" s="107" t="s">
        <v>318</v>
      </c>
      <c r="E294" s="107" t="s">
        <v>332</v>
      </c>
      <c r="F294" s="107"/>
      <c r="G294" s="108">
        <f>G296+G295</f>
        <v>29826711.990000002</v>
      </c>
      <c r="H294" s="108">
        <f>H296+H295</f>
        <v>0</v>
      </c>
      <c r="I294" s="108">
        <f>I296+I295</f>
        <v>0</v>
      </c>
    </row>
    <row r="295" spans="1:9" s="138" customFormat="1" ht="33.75">
      <c r="A295" s="46" t="s">
        <v>195</v>
      </c>
      <c r="B295" s="101">
        <v>701</v>
      </c>
      <c r="C295" s="107" t="s">
        <v>345</v>
      </c>
      <c r="D295" s="107" t="s">
        <v>318</v>
      </c>
      <c r="E295" s="107" t="s">
        <v>332</v>
      </c>
      <c r="F295" s="107" t="s">
        <v>252</v>
      </c>
      <c r="G295" s="108">
        <f>'Приложение 4'!F294</f>
        <v>3050171.99</v>
      </c>
      <c r="H295" s="108">
        <f>'Приложение 4'!G294</f>
        <v>0</v>
      </c>
      <c r="I295" s="108">
        <f>'Приложение 4'!H294</f>
        <v>0</v>
      </c>
    </row>
    <row r="296" spans="1:9" s="138" customFormat="1" ht="33.75">
      <c r="A296" s="48" t="s">
        <v>220</v>
      </c>
      <c r="B296" s="101">
        <v>701</v>
      </c>
      <c r="C296" s="107" t="s">
        <v>345</v>
      </c>
      <c r="D296" s="107" t="s">
        <v>318</v>
      </c>
      <c r="E296" s="107" t="s">
        <v>332</v>
      </c>
      <c r="F296" s="107" t="s">
        <v>266</v>
      </c>
      <c r="G296" s="108">
        <f>'Приложение 4'!F295</f>
        <v>26776540</v>
      </c>
      <c r="H296" s="108">
        <f>'Приложение 4'!G295</f>
        <v>0</v>
      </c>
      <c r="I296" s="108">
        <f>'Приложение 4'!H295</f>
        <v>0</v>
      </c>
    </row>
    <row r="297" spans="1:11" s="37" customFormat="1" ht="16.5">
      <c r="A297" s="70" t="s">
        <v>378</v>
      </c>
      <c r="B297" s="101">
        <v>701</v>
      </c>
      <c r="C297" s="105" t="s">
        <v>345</v>
      </c>
      <c r="D297" s="105" t="s">
        <v>322</v>
      </c>
      <c r="E297" s="105"/>
      <c r="F297" s="105"/>
      <c r="G297" s="106">
        <f>G298+G302+G306+G309</f>
        <v>44226055.81</v>
      </c>
      <c r="H297" s="106">
        <f>H298+H302+H306+H309</f>
        <v>43600711.129999995</v>
      </c>
      <c r="I297" s="106">
        <f>I298+I302+I306+I309</f>
        <v>43600711.129999995</v>
      </c>
      <c r="K297" s="38"/>
    </row>
    <row r="298" spans="1:9" ht="33.75">
      <c r="A298" s="66" t="s">
        <v>422</v>
      </c>
      <c r="B298" s="101">
        <v>701</v>
      </c>
      <c r="C298" s="105" t="s">
        <v>345</v>
      </c>
      <c r="D298" s="105" t="s">
        <v>322</v>
      </c>
      <c r="E298" s="141" t="s">
        <v>242</v>
      </c>
      <c r="F298" s="105"/>
      <c r="G298" s="106">
        <f>G299</f>
        <v>2162313.69</v>
      </c>
      <c r="H298" s="106">
        <f>H299</f>
        <v>2233711.13</v>
      </c>
      <c r="I298" s="106">
        <f>I299</f>
        <v>2233711.13</v>
      </c>
    </row>
    <row r="299" spans="1:9" ht="16.5">
      <c r="A299" s="48" t="s">
        <v>248</v>
      </c>
      <c r="B299" s="101">
        <v>701</v>
      </c>
      <c r="C299" s="107" t="s">
        <v>345</v>
      </c>
      <c r="D299" s="107" t="s">
        <v>322</v>
      </c>
      <c r="E299" s="142" t="s">
        <v>249</v>
      </c>
      <c r="F299" s="107"/>
      <c r="G299" s="108">
        <f>G300+G301</f>
        <v>2162313.69</v>
      </c>
      <c r="H299" s="108">
        <f>H300+H301</f>
        <v>2233711.13</v>
      </c>
      <c r="I299" s="108">
        <f>I300+I301</f>
        <v>2233711.13</v>
      </c>
    </row>
    <row r="300" spans="1:9" ht="33.75">
      <c r="A300" s="48" t="s">
        <v>195</v>
      </c>
      <c r="B300" s="101">
        <v>701</v>
      </c>
      <c r="C300" s="107" t="s">
        <v>345</v>
      </c>
      <c r="D300" s="107" t="s">
        <v>322</v>
      </c>
      <c r="E300" s="142" t="s">
        <v>249</v>
      </c>
      <c r="F300" s="107" t="s">
        <v>252</v>
      </c>
      <c r="G300" s="108">
        <f>'Приложение 4'!F299</f>
        <v>1503141.51</v>
      </c>
      <c r="H300" s="108">
        <f>'Приложение 4'!G299</f>
        <v>1358999.13</v>
      </c>
      <c r="I300" s="108">
        <f>'Приложение 4'!H299</f>
        <v>1358999.13</v>
      </c>
    </row>
    <row r="301" spans="1:9" ht="16.5">
      <c r="A301" s="48" t="s">
        <v>196</v>
      </c>
      <c r="B301" s="101">
        <v>701</v>
      </c>
      <c r="C301" s="107" t="s">
        <v>345</v>
      </c>
      <c r="D301" s="107" t="s">
        <v>322</v>
      </c>
      <c r="E301" s="142" t="s">
        <v>249</v>
      </c>
      <c r="F301" s="107" t="s">
        <v>257</v>
      </c>
      <c r="G301" s="108">
        <f>'Приложение 4'!F300</f>
        <v>659172.18</v>
      </c>
      <c r="H301" s="108">
        <f>'Приложение 4'!G300</f>
        <v>874712</v>
      </c>
      <c r="I301" s="108">
        <f>'Приложение 4'!H300</f>
        <v>874712</v>
      </c>
    </row>
    <row r="302" spans="1:9" ht="16.5">
      <c r="A302" s="70" t="s">
        <v>253</v>
      </c>
      <c r="B302" s="101">
        <v>701</v>
      </c>
      <c r="C302" s="105" t="s">
        <v>345</v>
      </c>
      <c r="D302" s="105" t="s">
        <v>322</v>
      </c>
      <c r="E302" s="105" t="s">
        <v>254</v>
      </c>
      <c r="F302" s="105"/>
      <c r="G302" s="106">
        <f>G303</f>
        <v>1924830</v>
      </c>
      <c r="H302" s="106">
        <f>H303</f>
        <v>2067000</v>
      </c>
      <c r="I302" s="106">
        <f>I303</f>
        <v>2067000</v>
      </c>
    </row>
    <row r="303" spans="1:9" ht="16.5">
      <c r="A303" s="48" t="s">
        <v>255</v>
      </c>
      <c r="B303" s="101">
        <v>701</v>
      </c>
      <c r="C303" s="107" t="s">
        <v>345</v>
      </c>
      <c r="D303" s="107" t="s">
        <v>322</v>
      </c>
      <c r="E303" s="107" t="s">
        <v>256</v>
      </c>
      <c r="F303" s="107"/>
      <c r="G303" s="108">
        <f>SUM(G304:G305)</f>
        <v>1924830</v>
      </c>
      <c r="H303" s="108">
        <f>SUM(H304:H305)</f>
        <v>2067000</v>
      </c>
      <c r="I303" s="108">
        <f>SUM(I304:I305)</f>
        <v>2067000</v>
      </c>
    </row>
    <row r="304" spans="1:9" ht="33.75">
      <c r="A304" s="48" t="s">
        <v>195</v>
      </c>
      <c r="B304" s="101">
        <v>701</v>
      </c>
      <c r="C304" s="107" t="s">
        <v>345</v>
      </c>
      <c r="D304" s="107" t="s">
        <v>322</v>
      </c>
      <c r="E304" s="107" t="s">
        <v>256</v>
      </c>
      <c r="F304" s="107" t="s">
        <v>252</v>
      </c>
      <c r="G304" s="108">
        <f>'Приложение 4'!F303</f>
        <v>194000</v>
      </c>
      <c r="H304" s="108">
        <f>'Приложение 4'!G303</f>
        <v>194000</v>
      </c>
      <c r="I304" s="108">
        <f>'Приложение 4'!H303</f>
        <v>194000</v>
      </c>
    </row>
    <row r="305" spans="1:9" ht="16.5">
      <c r="A305" s="48" t="s">
        <v>196</v>
      </c>
      <c r="B305" s="101">
        <v>701</v>
      </c>
      <c r="C305" s="107" t="s">
        <v>345</v>
      </c>
      <c r="D305" s="107" t="s">
        <v>322</v>
      </c>
      <c r="E305" s="107" t="s">
        <v>256</v>
      </c>
      <c r="F305" s="107" t="s">
        <v>257</v>
      </c>
      <c r="G305" s="108">
        <f>'Приложение 4'!F304</f>
        <v>1730830</v>
      </c>
      <c r="H305" s="108">
        <f>'Приложение 4'!G304</f>
        <v>1873000</v>
      </c>
      <c r="I305" s="108">
        <f>'Приложение 4'!H304</f>
        <v>1873000</v>
      </c>
    </row>
    <row r="306" spans="1:9" ht="51">
      <c r="A306" s="70" t="s">
        <v>260</v>
      </c>
      <c r="B306" s="101">
        <v>701</v>
      </c>
      <c r="C306" s="105" t="s">
        <v>345</v>
      </c>
      <c r="D306" s="105" t="s">
        <v>322</v>
      </c>
      <c r="E306" s="105" t="s">
        <v>261</v>
      </c>
      <c r="F306" s="105"/>
      <c r="G306" s="106">
        <f aca="true" t="shared" si="26" ref="G306:I307">G307</f>
        <v>23973312.12</v>
      </c>
      <c r="H306" s="106">
        <f t="shared" si="26"/>
        <v>25800000</v>
      </c>
      <c r="I306" s="106">
        <f t="shared" si="26"/>
        <v>25800000</v>
      </c>
    </row>
    <row r="307" spans="1:9" ht="16.5">
      <c r="A307" s="48" t="s">
        <v>264</v>
      </c>
      <c r="B307" s="101">
        <v>701</v>
      </c>
      <c r="C307" s="107" t="s">
        <v>345</v>
      </c>
      <c r="D307" s="107" t="s">
        <v>322</v>
      </c>
      <c r="E307" s="107" t="s">
        <v>265</v>
      </c>
      <c r="F307" s="107"/>
      <c r="G307" s="108">
        <f t="shared" si="26"/>
        <v>23973312.12</v>
      </c>
      <c r="H307" s="108">
        <f t="shared" si="26"/>
        <v>25800000</v>
      </c>
      <c r="I307" s="108">
        <f t="shared" si="26"/>
        <v>25800000</v>
      </c>
    </row>
    <row r="308" spans="1:9" ht="16.5">
      <c r="A308" s="48" t="s">
        <v>196</v>
      </c>
      <c r="B308" s="101">
        <v>701</v>
      </c>
      <c r="C308" s="107" t="s">
        <v>345</v>
      </c>
      <c r="D308" s="107" t="s">
        <v>322</v>
      </c>
      <c r="E308" s="107" t="s">
        <v>265</v>
      </c>
      <c r="F308" s="107" t="s">
        <v>257</v>
      </c>
      <c r="G308" s="108">
        <f>'Приложение 4'!F307</f>
        <v>23973312.12</v>
      </c>
      <c r="H308" s="108">
        <f>'Приложение 4'!G307</f>
        <v>25800000</v>
      </c>
      <c r="I308" s="108">
        <f>'Приложение 4'!H307</f>
        <v>25800000</v>
      </c>
    </row>
    <row r="309" spans="1:11" ht="16.5">
      <c r="A309" s="70" t="s">
        <v>311</v>
      </c>
      <c r="B309" s="101">
        <v>701</v>
      </c>
      <c r="C309" s="105" t="s">
        <v>345</v>
      </c>
      <c r="D309" s="105" t="s">
        <v>322</v>
      </c>
      <c r="E309" s="105" t="s">
        <v>312</v>
      </c>
      <c r="F309" s="105"/>
      <c r="G309" s="106">
        <f>G310</f>
        <v>16165600</v>
      </c>
      <c r="H309" s="106">
        <f>H310</f>
        <v>13500000</v>
      </c>
      <c r="I309" s="106">
        <f>I310</f>
        <v>13500000</v>
      </c>
      <c r="K309" s="27"/>
    </row>
    <row r="310" spans="1:9" ht="16.5">
      <c r="A310" s="48" t="s">
        <v>331</v>
      </c>
      <c r="B310" s="101">
        <v>701</v>
      </c>
      <c r="C310" s="107" t="s">
        <v>345</v>
      </c>
      <c r="D310" s="107" t="s">
        <v>322</v>
      </c>
      <c r="E310" s="107" t="s">
        <v>332</v>
      </c>
      <c r="F310" s="107"/>
      <c r="G310" s="108">
        <f>G311+G312+G313</f>
        <v>16165600</v>
      </c>
      <c r="H310" s="108">
        <f>H311+H312</f>
        <v>13500000</v>
      </c>
      <c r="I310" s="108">
        <f>I311+I312</f>
        <v>13500000</v>
      </c>
    </row>
    <row r="311" spans="1:9" ht="33.75">
      <c r="A311" s="48" t="s">
        <v>195</v>
      </c>
      <c r="B311" s="101">
        <v>701</v>
      </c>
      <c r="C311" s="107" t="s">
        <v>345</v>
      </c>
      <c r="D311" s="107" t="s">
        <v>322</v>
      </c>
      <c r="E311" s="107" t="s">
        <v>332</v>
      </c>
      <c r="F311" s="107" t="s">
        <v>252</v>
      </c>
      <c r="G311" s="108">
        <f>'Приложение 4'!F310</f>
        <v>145566.35</v>
      </c>
      <c r="H311" s="108">
        <f>'Приложение 4'!G310</f>
        <v>197734</v>
      </c>
      <c r="I311" s="108">
        <f>'Приложение 4'!H310</f>
        <v>197734</v>
      </c>
    </row>
    <row r="312" spans="1:9" ht="16.5">
      <c r="A312" s="48" t="s">
        <v>196</v>
      </c>
      <c r="B312" s="101">
        <v>701</v>
      </c>
      <c r="C312" s="107" t="s">
        <v>345</v>
      </c>
      <c r="D312" s="107" t="s">
        <v>322</v>
      </c>
      <c r="E312" s="107" t="s">
        <v>332</v>
      </c>
      <c r="F312" s="107" t="s">
        <v>257</v>
      </c>
      <c r="G312" s="108">
        <f>'Приложение 4'!F311</f>
        <v>13354433.65</v>
      </c>
      <c r="H312" s="108">
        <f>'Приложение 4'!G311</f>
        <v>13302266</v>
      </c>
      <c r="I312" s="108">
        <f>'Приложение 4'!H311</f>
        <v>13302266</v>
      </c>
    </row>
    <row r="313" spans="1:9" ht="33.75">
      <c r="A313" s="48" t="s">
        <v>220</v>
      </c>
      <c r="B313" s="101">
        <v>701</v>
      </c>
      <c r="C313" s="107" t="s">
        <v>345</v>
      </c>
      <c r="D313" s="107" t="s">
        <v>322</v>
      </c>
      <c r="E313" s="107" t="s">
        <v>332</v>
      </c>
      <c r="F313" s="107" t="s">
        <v>266</v>
      </c>
      <c r="G313" s="108">
        <f>'Приложение 4'!F312</f>
        <v>2665600</v>
      </c>
      <c r="H313" s="108">
        <f>'Приложение 4'!G312</f>
        <v>0</v>
      </c>
      <c r="I313" s="108">
        <f>'Приложение 4'!H312</f>
        <v>0</v>
      </c>
    </row>
    <row r="314" spans="1:9" s="37" customFormat="1" ht="16.5">
      <c r="A314" s="70" t="s">
        <v>379</v>
      </c>
      <c r="B314" s="101">
        <v>701</v>
      </c>
      <c r="C314" s="105" t="s">
        <v>345</v>
      </c>
      <c r="D314" s="105" t="s">
        <v>326</v>
      </c>
      <c r="E314" s="105"/>
      <c r="F314" s="105"/>
      <c r="G314" s="106">
        <f>G315+G322+G327</f>
        <v>23091812.689999998</v>
      </c>
      <c r="H314" s="106">
        <f>H315+H322+H327</f>
        <v>12136803.129999999</v>
      </c>
      <c r="I314" s="106">
        <f>I315+I322+I327</f>
        <v>12049271.879999999</v>
      </c>
    </row>
    <row r="315" spans="1:9" ht="16.5">
      <c r="A315" s="70" t="s">
        <v>253</v>
      </c>
      <c r="B315" s="101">
        <v>701</v>
      </c>
      <c r="C315" s="105" t="s">
        <v>345</v>
      </c>
      <c r="D315" s="105" t="s">
        <v>326</v>
      </c>
      <c r="E315" s="105" t="s">
        <v>254</v>
      </c>
      <c r="F315" s="105"/>
      <c r="G315" s="106">
        <f>G316+G318</f>
        <v>2762478</v>
      </c>
      <c r="H315" s="106">
        <f>H316+H318</f>
        <v>5167387.1</v>
      </c>
      <c r="I315" s="106">
        <f>I316+I318</f>
        <v>5079855.85</v>
      </c>
    </row>
    <row r="316" spans="1:9" ht="16.5">
      <c r="A316" s="48" t="s">
        <v>255</v>
      </c>
      <c r="B316" s="101">
        <v>701</v>
      </c>
      <c r="C316" s="107" t="s">
        <v>345</v>
      </c>
      <c r="D316" s="107" t="s">
        <v>326</v>
      </c>
      <c r="E316" s="107" t="s">
        <v>256</v>
      </c>
      <c r="F316" s="107"/>
      <c r="G316" s="108">
        <f>G317</f>
        <v>2088496</v>
      </c>
      <c r="H316" s="108">
        <f>H317</f>
        <v>2596000</v>
      </c>
      <c r="I316" s="108">
        <f>I317</f>
        <v>2700000</v>
      </c>
    </row>
    <row r="317" spans="1:9" ht="16.5">
      <c r="A317" s="48" t="s">
        <v>196</v>
      </c>
      <c r="B317" s="101">
        <v>701</v>
      </c>
      <c r="C317" s="107" t="s">
        <v>345</v>
      </c>
      <c r="D317" s="107" t="s">
        <v>326</v>
      </c>
      <c r="E317" s="107" t="s">
        <v>256</v>
      </c>
      <c r="F317" s="107" t="s">
        <v>257</v>
      </c>
      <c r="G317" s="108">
        <f>'Приложение 4'!F316</f>
        <v>2088496</v>
      </c>
      <c r="H317" s="108">
        <f>'Приложение 4'!G316</f>
        <v>2596000</v>
      </c>
      <c r="I317" s="108">
        <f>'Приложение 4'!H316</f>
        <v>2700000</v>
      </c>
    </row>
    <row r="318" spans="1:9" ht="16.5">
      <c r="A318" s="48" t="s">
        <v>258</v>
      </c>
      <c r="B318" s="101">
        <v>701</v>
      </c>
      <c r="C318" s="107" t="s">
        <v>345</v>
      </c>
      <c r="D318" s="107" t="s">
        <v>326</v>
      </c>
      <c r="E318" s="107" t="s">
        <v>259</v>
      </c>
      <c r="F318" s="107"/>
      <c r="G318" s="108">
        <f>SUM(G319:G321)</f>
        <v>673981.9999999999</v>
      </c>
      <c r="H318" s="108">
        <f>SUM(H319:H321)</f>
        <v>2571387.1</v>
      </c>
      <c r="I318" s="108">
        <f>SUM(I319:I321)</f>
        <v>2379855.85</v>
      </c>
    </row>
    <row r="319" spans="1:9" ht="67.5">
      <c r="A319" s="48" t="s">
        <v>194</v>
      </c>
      <c r="B319" s="101">
        <v>701</v>
      </c>
      <c r="C319" s="107" t="s">
        <v>345</v>
      </c>
      <c r="D319" s="107" t="s">
        <v>326</v>
      </c>
      <c r="E319" s="107" t="s">
        <v>259</v>
      </c>
      <c r="F319" s="107" t="s">
        <v>229</v>
      </c>
      <c r="G319" s="108">
        <f>'Приложение 4'!F318</f>
        <v>0</v>
      </c>
      <c r="H319" s="108">
        <f>'Приложение 4'!G318</f>
        <v>0</v>
      </c>
      <c r="I319" s="108">
        <f>'Приложение 4'!H318</f>
        <v>0</v>
      </c>
    </row>
    <row r="320" spans="1:9" ht="33.75">
      <c r="A320" s="48" t="s">
        <v>195</v>
      </c>
      <c r="B320" s="101">
        <v>701</v>
      </c>
      <c r="C320" s="107" t="s">
        <v>345</v>
      </c>
      <c r="D320" s="107" t="s">
        <v>326</v>
      </c>
      <c r="E320" s="107" t="s">
        <v>259</v>
      </c>
      <c r="F320" s="107" t="s">
        <v>252</v>
      </c>
      <c r="G320" s="108">
        <f>'Приложение 4'!F319</f>
        <v>673981.9999999999</v>
      </c>
      <c r="H320" s="108">
        <f>'Приложение 4'!G319</f>
        <v>2331387.1</v>
      </c>
      <c r="I320" s="108">
        <f>'Приложение 4'!H319</f>
        <v>2379855.85</v>
      </c>
    </row>
    <row r="321" spans="1:9" ht="16.5">
      <c r="A321" s="48" t="s">
        <v>196</v>
      </c>
      <c r="B321" s="101">
        <v>701</v>
      </c>
      <c r="C321" s="107" t="s">
        <v>345</v>
      </c>
      <c r="D321" s="107" t="s">
        <v>326</v>
      </c>
      <c r="E321" s="107" t="s">
        <v>259</v>
      </c>
      <c r="F321" s="107" t="s">
        <v>257</v>
      </c>
      <c r="G321" s="108">
        <f>'Приложение 4'!F320</f>
        <v>0</v>
      </c>
      <c r="H321" s="108">
        <f>'Приложение 4'!G320</f>
        <v>240000</v>
      </c>
      <c r="I321" s="108">
        <f>'Приложение 4'!H320</f>
        <v>0</v>
      </c>
    </row>
    <row r="322" spans="1:9" ht="16.5">
      <c r="A322" s="70" t="s">
        <v>423</v>
      </c>
      <c r="B322" s="101">
        <v>701</v>
      </c>
      <c r="C322" s="105" t="s">
        <v>345</v>
      </c>
      <c r="D322" s="105" t="s">
        <v>326</v>
      </c>
      <c r="E322" s="105" t="s">
        <v>283</v>
      </c>
      <c r="F322" s="105"/>
      <c r="G322" s="106">
        <f>G323</f>
        <v>2995900</v>
      </c>
      <c r="H322" s="106">
        <f>H323</f>
        <v>2995900</v>
      </c>
      <c r="I322" s="106">
        <f>I323</f>
        <v>2995900</v>
      </c>
    </row>
    <row r="323" spans="1:9" ht="33.75">
      <c r="A323" s="159" t="s">
        <v>284</v>
      </c>
      <c r="B323" s="101">
        <v>701</v>
      </c>
      <c r="C323" s="107" t="s">
        <v>345</v>
      </c>
      <c r="D323" s="107" t="s">
        <v>326</v>
      </c>
      <c r="E323" s="107" t="s">
        <v>285</v>
      </c>
      <c r="F323" s="107"/>
      <c r="G323" s="108">
        <f>SUM(G324:G326)</f>
        <v>2995900</v>
      </c>
      <c r="H323" s="108">
        <f>SUM(H324:H326)</f>
        <v>2995900</v>
      </c>
      <c r="I323" s="108">
        <f>SUM(I324:I326)</f>
        <v>2995900</v>
      </c>
    </row>
    <row r="324" spans="1:9" ht="67.5">
      <c r="A324" s="160" t="s">
        <v>194</v>
      </c>
      <c r="B324" s="101">
        <v>701</v>
      </c>
      <c r="C324" s="107" t="s">
        <v>345</v>
      </c>
      <c r="D324" s="107" t="s">
        <v>326</v>
      </c>
      <c r="E324" s="107" t="s">
        <v>285</v>
      </c>
      <c r="F324" s="107" t="s">
        <v>229</v>
      </c>
      <c r="G324" s="108">
        <f>'Приложение 4'!F323</f>
        <v>272580</v>
      </c>
      <c r="H324" s="108">
        <f>'Приложение 4'!G323</f>
        <v>127200</v>
      </c>
      <c r="I324" s="108">
        <f>'Приложение 4'!H323</f>
        <v>127200</v>
      </c>
    </row>
    <row r="325" spans="1:9" ht="33.75">
      <c r="A325" s="48" t="s">
        <v>195</v>
      </c>
      <c r="B325" s="101">
        <v>701</v>
      </c>
      <c r="C325" s="107" t="s">
        <v>345</v>
      </c>
      <c r="D325" s="107" t="s">
        <v>326</v>
      </c>
      <c r="E325" s="107" t="s">
        <v>285</v>
      </c>
      <c r="F325" s="107" t="s">
        <v>252</v>
      </c>
      <c r="G325" s="108">
        <f>'Приложение 4'!F324</f>
        <v>1269598.02</v>
      </c>
      <c r="H325" s="108">
        <f>'Приложение 4'!G324</f>
        <v>1004200</v>
      </c>
      <c r="I325" s="108">
        <f>'Приложение 4'!H324</f>
        <v>1004200</v>
      </c>
    </row>
    <row r="326" spans="1:9" ht="16.5">
      <c r="A326" s="48" t="s">
        <v>196</v>
      </c>
      <c r="B326" s="101">
        <v>701</v>
      </c>
      <c r="C326" s="107" t="s">
        <v>345</v>
      </c>
      <c r="D326" s="107" t="s">
        <v>326</v>
      </c>
      <c r="E326" s="107" t="s">
        <v>285</v>
      </c>
      <c r="F326" s="107" t="s">
        <v>257</v>
      </c>
      <c r="G326" s="108">
        <f>'Приложение 4'!F325</f>
        <v>1453721.98</v>
      </c>
      <c r="H326" s="108">
        <f>'Приложение 4'!G325</f>
        <v>1864500</v>
      </c>
      <c r="I326" s="108">
        <f>'Приложение 4'!H325</f>
        <v>1864500</v>
      </c>
    </row>
    <row r="327" spans="1:9" ht="16.5">
      <c r="A327" s="70" t="s">
        <v>311</v>
      </c>
      <c r="B327" s="101">
        <v>701</v>
      </c>
      <c r="C327" s="105" t="s">
        <v>345</v>
      </c>
      <c r="D327" s="105" t="s">
        <v>326</v>
      </c>
      <c r="E327" s="105" t="s">
        <v>312</v>
      </c>
      <c r="F327" s="107"/>
      <c r="G327" s="106">
        <f>G328+G330</f>
        <v>17333434.689999998</v>
      </c>
      <c r="H327" s="106">
        <f>H328+H330</f>
        <v>3973516.03</v>
      </c>
      <c r="I327" s="106">
        <f>I328+I330</f>
        <v>3973516.03</v>
      </c>
    </row>
    <row r="328" spans="1:9" ht="33.75">
      <c r="A328" s="48" t="s">
        <v>313</v>
      </c>
      <c r="B328" s="101">
        <v>701</v>
      </c>
      <c r="C328" s="107" t="s">
        <v>345</v>
      </c>
      <c r="D328" s="107" t="s">
        <v>326</v>
      </c>
      <c r="E328" s="107" t="s">
        <v>314</v>
      </c>
      <c r="F328" s="107"/>
      <c r="G328" s="108">
        <f>G329</f>
        <v>4898914.91</v>
      </c>
      <c r="H328" s="108">
        <f>H329</f>
        <v>2854216.03</v>
      </c>
      <c r="I328" s="108">
        <f>I329</f>
        <v>2854216.03</v>
      </c>
    </row>
    <row r="329" spans="1:9" ht="67.5">
      <c r="A329" s="48" t="s">
        <v>194</v>
      </c>
      <c r="B329" s="101">
        <v>701</v>
      </c>
      <c r="C329" s="107" t="s">
        <v>345</v>
      </c>
      <c r="D329" s="107" t="s">
        <v>326</v>
      </c>
      <c r="E329" s="107" t="s">
        <v>314</v>
      </c>
      <c r="F329" s="107" t="s">
        <v>229</v>
      </c>
      <c r="G329" s="108">
        <f>'Приложение 4'!F328</f>
        <v>4898914.91</v>
      </c>
      <c r="H329" s="108">
        <f>'Приложение 4'!G328</f>
        <v>2854216.03</v>
      </c>
      <c r="I329" s="108">
        <f>'Приложение 4'!H328</f>
        <v>2854216.03</v>
      </c>
    </row>
    <row r="330" spans="1:9" ht="16.5">
      <c r="A330" s="48" t="s">
        <v>331</v>
      </c>
      <c r="B330" s="101">
        <v>701</v>
      </c>
      <c r="C330" s="107" t="s">
        <v>345</v>
      </c>
      <c r="D330" s="107" t="s">
        <v>326</v>
      </c>
      <c r="E330" s="107" t="s">
        <v>332</v>
      </c>
      <c r="F330" s="107"/>
      <c r="G330" s="108">
        <f>SUM(G331:G332)</f>
        <v>12434519.78</v>
      </c>
      <c r="H330" s="108">
        <f>SUM(H331:H332)</f>
        <v>1119300</v>
      </c>
      <c r="I330" s="108">
        <f>SUM(I331:I332)</f>
        <v>1119300</v>
      </c>
    </row>
    <row r="331" spans="1:9" ht="33.75" hidden="1">
      <c r="A331" s="48" t="s">
        <v>195</v>
      </c>
      <c r="B331" s="101">
        <v>701</v>
      </c>
      <c r="C331" s="107" t="s">
        <v>345</v>
      </c>
      <c r="D331" s="107" t="s">
        <v>326</v>
      </c>
      <c r="E331" s="107" t="s">
        <v>332</v>
      </c>
      <c r="F331" s="107" t="s">
        <v>252</v>
      </c>
      <c r="G331" s="108">
        <v>0</v>
      </c>
      <c r="H331" s="108">
        <v>0</v>
      </c>
      <c r="I331" s="108">
        <v>0</v>
      </c>
    </row>
    <row r="332" spans="1:9" ht="16.5">
      <c r="A332" s="48" t="s">
        <v>196</v>
      </c>
      <c r="B332" s="101">
        <v>701</v>
      </c>
      <c r="C332" s="107" t="s">
        <v>345</v>
      </c>
      <c r="D332" s="107" t="s">
        <v>326</v>
      </c>
      <c r="E332" s="107" t="s">
        <v>332</v>
      </c>
      <c r="F332" s="107" t="s">
        <v>257</v>
      </c>
      <c r="G332" s="108">
        <f>'Приложение 4'!F331</f>
        <v>12434519.78</v>
      </c>
      <c r="H332" s="108">
        <f>'Приложение 4'!G331</f>
        <v>1119300</v>
      </c>
      <c r="I332" s="108">
        <f>'Приложение 4'!H331</f>
        <v>1119300</v>
      </c>
    </row>
    <row r="333" spans="1:9" ht="16.5">
      <c r="A333" s="70" t="s">
        <v>380</v>
      </c>
      <c r="B333" s="101">
        <v>701</v>
      </c>
      <c r="C333" s="105" t="s">
        <v>330</v>
      </c>
      <c r="D333" s="105"/>
      <c r="E333" s="105"/>
      <c r="F333" s="105"/>
      <c r="G333" s="106">
        <f>G334+G349</f>
        <v>189478039.39000002</v>
      </c>
      <c r="H333" s="106">
        <f>H334+H349</f>
        <v>138072363.33999997</v>
      </c>
      <c r="I333" s="106">
        <f>I334+I349</f>
        <v>139031568.62</v>
      </c>
    </row>
    <row r="334" spans="1:9" ht="16.5">
      <c r="A334" s="70" t="s">
        <v>381</v>
      </c>
      <c r="B334" s="101">
        <v>701</v>
      </c>
      <c r="C334" s="105" t="s">
        <v>330</v>
      </c>
      <c r="D334" s="105" t="s">
        <v>308</v>
      </c>
      <c r="E334" s="105"/>
      <c r="F334" s="105"/>
      <c r="G334" s="106">
        <f>G335+G344</f>
        <v>180893115.16000003</v>
      </c>
      <c r="H334" s="106">
        <f>H335+H344</f>
        <v>130072363.33999999</v>
      </c>
      <c r="I334" s="106">
        <f>I335+I344</f>
        <v>131031568.61999999</v>
      </c>
    </row>
    <row r="335" spans="1:9" ht="33.75">
      <c r="A335" s="70" t="s">
        <v>275</v>
      </c>
      <c r="B335" s="101">
        <v>701</v>
      </c>
      <c r="C335" s="105" t="s">
        <v>330</v>
      </c>
      <c r="D335" s="105" t="s">
        <v>308</v>
      </c>
      <c r="E335" s="105" t="s">
        <v>276</v>
      </c>
      <c r="F335" s="105"/>
      <c r="G335" s="106">
        <f>G336+G341</f>
        <v>132077484.07000001</v>
      </c>
      <c r="H335" s="106">
        <f>H336+H341</f>
        <v>130072363.33999999</v>
      </c>
      <c r="I335" s="106">
        <f>I336+I341</f>
        <v>131031568.61999999</v>
      </c>
    </row>
    <row r="336" spans="1:9" ht="16.5">
      <c r="A336" s="48" t="s">
        <v>192</v>
      </c>
      <c r="B336" s="101">
        <v>701</v>
      </c>
      <c r="C336" s="107" t="s">
        <v>330</v>
      </c>
      <c r="D336" s="107" t="s">
        <v>308</v>
      </c>
      <c r="E336" s="107" t="s">
        <v>277</v>
      </c>
      <c r="F336" s="107"/>
      <c r="G336" s="108">
        <f>SUM(G337:G340)</f>
        <v>125074381.2</v>
      </c>
      <c r="H336" s="108">
        <f>SUM(H337:H340)</f>
        <v>122072363.33999999</v>
      </c>
      <c r="I336" s="108">
        <f>SUM(I337:I340)</f>
        <v>123031568.61999999</v>
      </c>
    </row>
    <row r="337" spans="1:9" ht="67.5">
      <c r="A337" s="48" t="s">
        <v>194</v>
      </c>
      <c r="B337" s="101">
        <v>701</v>
      </c>
      <c r="C337" s="107" t="s">
        <v>330</v>
      </c>
      <c r="D337" s="107" t="s">
        <v>308</v>
      </c>
      <c r="E337" s="107" t="s">
        <v>277</v>
      </c>
      <c r="F337" s="107" t="s">
        <v>229</v>
      </c>
      <c r="G337" s="108">
        <f>'Приложение 4'!F336</f>
        <v>97953234.64</v>
      </c>
      <c r="H337" s="108">
        <f>'Приложение 4'!G336</f>
        <v>93985125.77</v>
      </c>
      <c r="I337" s="108">
        <f>'Приложение 4'!H336</f>
        <v>93985125.77</v>
      </c>
    </row>
    <row r="338" spans="1:9" ht="33.75">
      <c r="A338" s="48" t="s">
        <v>195</v>
      </c>
      <c r="B338" s="101">
        <v>701</v>
      </c>
      <c r="C338" s="107" t="s">
        <v>330</v>
      </c>
      <c r="D338" s="107" t="s">
        <v>308</v>
      </c>
      <c r="E338" s="107" t="s">
        <v>277</v>
      </c>
      <c r="F338" s="107" t="s">
        <v>252</v>
      </c>
      <c r="G338" s="108">
        <f>'Приложение 4'!F337</f>
        <v>24025169.45</v>
      </c>
      <c r="H338" s="108">
        <f>'Приложение 4'!G337</f>
        <v>24990260.46</v>
      </c>
      <c r="I338" s="108">
        <f>'Приложение 4'!H337</f>
        <v>25949465.74</v>
      </c>
    </row>
    <row r="339" spans="1:9" ht="16.5">
      <c r="A339" s="48" t="s">
        <v>196</v>
      </c>
      <c r="B339" s="101">
        <v>701</v>
      </c>
      <c r="C339" s="107" t="s">
        <v>330</v>
      </c>
      <c r="D339" s="107" t="s">
        <v>308</v>
      </c>
      <c r="E339" s="107" t="s">
        <v>277</v>
      </c>
      <c r="F339" s="107" t="s">
        <v>257</v>
      </c>
      <c r="G339" s="108">
        <f>'Приложение 4'!F338</f>
        <v>0</v>
      </c>
      <c r="H339" s="108">
        <f>'Приложение 4'!G338</f>
        <v>0</v>
      </c>
      <c r="I339" s="108">
        <f>'Приложение 4'!H338</f>
        <v>0</v>
      </c>
    </row>
    <row r="340" spans="1:9" ht="16.5">
      <c r="A340" s="48" t="s">
        <v>197</v>
      </c>
      <c r="B340" s="101">
        <v>701</v>
      </c>
      <c r="C340" s="107" t="s">
        <v>330</v>
      </c>
      <c r="D340" s="107" t="s">
        <v>308</v>
      </c>
      <c r="E340" s="107" t="s">
        <v>277</v>
      </c>
      <c r="F340" s="107" t="s">
        <v>231</v>
      </c>
      <c r="G340" s="108">
        <f>'Приложение 4'!F339</f>
        <v>3095977.11</v>
      </c>
      <c r="H340" s="108">
        <f>'Приложение 4'!G339</f>
        <v>3096977.11</v>
      </c>
      <c r="I340" s="108">
        <f>'Приложение 4'!H339</f>
        <v>3096977.11</v>
      </c>
    </row>
    <row r="341" spans="1:9" ht="16.5">
      <c r="A341" s="48" t="s">
        <v>280</v>
      </c>
      <c r="B341" s="101">
        <v>701</v>
      </c>
      <c r="C341" s="107" t="s">
        <v>330</v>
      </c>
      <c r="D341" s="107" t="s">
        <v>308</v>
      </c>
      <c r="E341" s="107" t="s">
        <v>281</v>
      </c>
      <c r="F341" s="107"/>
      <c r="G341" s="108">
        <f>SUM(G342:G343)</f>
        <v>7003102.87</v>
      </c>
      <c r="H341" s="108">
        <f>SUM(H342:H343)</f>
        <v>8000000</v>
      </c>
      <c r="I341" s="108">
        <f>SUM(I342:I343)</f>
        <v>8000000</v>
      </c>
    </row>
    <row r="342" spans="1:9" ht="67.5">
      <c r="A342" s="48" t="s">
        <v>194</v>
      </c>
      <c r="B342" s="101">
        <v>701</v>
      </c>
      <c r="C342" s="107" t="s">
        <v>330</v>
      </c>
      <c r="D342" s="107" t="s">
        <v>308</v>
      </c>
      <c r="E342" s="107" t="s">
        <v>281</v>
      </c>
      <c r="F342" s="107" t="s">
        <v>229</v>
      </c>
      <c r="G342" s="108">
        <f>'Приложение 4'!F341</f>
        <v>443102.87</v>
      </c>
      <c r="H342" s="108">
        <f>'Приложение 4'!G341</f>
        <v>2240000</v>
      </c>
      <c r="I342" s="108">
        <f>'Приложение 4'!H341</f>
        <v>2240000</v>
      </c>
    </row>
    <row r="343" spans="1:9" ht="33.75">
      <c r="A343" s="48" t="s">
        <v>195</v>
      </c>
      <c r="B343" s="101">
        <v>701</v>
      </c>
      <c r="C343" s="107" t="s">
        <v>330</v>
      </c>
      <c r="D343" s="107" t="s">
        <v>308</v>
      </c>
      <c r="E343" s="107" t="s">
        <v>281</v>
      </c>
      <c r="F343" s="107" t="s">
        <v>252</v>
      </c>
      <c r="G343" s="108">
        <f>'Приложение 4'!F342</f>
        <v>6560000</v>
      </c>
      <c r="H343" s="108">
        <f>'Приложение 4'!G342</f>
        <v>5760000</v>
      </c>
      <c r="I343" s="108">
        <f>'Приложение 4'!H342</f>
        <v>5760000</v>
      </c>
    </row>
    <row r="344" spans="1:9" s="37" customFormat="1" ht="16.5">
      <c r="A344" s="70" t="s">
        <v>311</v>
      </c>
      <c r="B344" s="101">
        <v>701</v>
      </c>
      <c r="C344" s="105" t="s">
        <v>330</v>
      </c>
      <c r="D344" s="105" t="s">
        <v>308</v>
      </c>
      <c r="E344" s="105" t="s">
        <v>312</v>
      </c>
      <c r="F344" s="105"/>
      <c r="G344" s="106">
        <f>G345</f>
        <v>48815631.09</v>
      </c>
      <c r="H344" s="106">
        <f>H345</f>
        <v>0</v>
      </c>
      <c r="I344" s="106">
        <f>I345</f>
        <v>0</v>
      </c>
    </row>
    <row r="345" spans="1:9" ht="16.5">
      <c r="A345" s="48" t="s">
        <v>331</v>
      </c>
      <c r="B345" s="101">
        <v>701</v>
      </c>
      <c r="C345" s="107" t="s">
        <v>330</v>
      </c>
      <c r="D345" s="107" t="s">
        <v>308</v>
      </c>
      <c r="E345" s="107" t="s">
        <v>332</v>
      </c>
      <c r="F345" s="107"/>
      <c r="G345" s="108">
        <f>SUM(G346:G348)</f>
        <v>48815631.09</v>
      </c>
      <c r="H345" s="108">
        <f>SUM(H346:H348)</f>
        <v>0</v>
      </c>
      <c r="I345" s="108">
        <f>SUM(I346:I348)</f>
        <v>0</v>
      </c>
    </row>
    <row r="346" spans="1:9" ht="33.75">
      <c r="A346" s="48" t="s">
        <v>195</v>
      </c>
      <c r="B346" s="101">
        <v>701</v>
      </c>
      <c r="C346" s="107" t="s">
        <v>330</v>
      </c>
      <c r="D346" s="107" t="s">
        <v>308</v>
      </c>
      <c r="E346" s="107" t="s">
        <v>332</v>
      </c>
      <c r="F346" s="107" t="s">
        <v>252</v>
      </c>
      <c r="G346" s="108">
        <f>'Приложение 4'!F345</f>
        <v>47199349.09</v>
      </c>
      <c r="H346" s="108">
        <v>0</v>
      </c>
      <c r="I346" s="108">
        <v>0</v>
      </c>
    </row>
    <row r="347" spans="1:9" ht="16.5">
      <c r="A347" s="48" t="s">
        <v>196</v>
      </c>
      <c r="B347" s="101">
        <v>701</v>
      </c>
      <c r="C347" s="107" t="s">
        <v>330</v>
      </c>
      <c r="D347" s="107" t="s">
        <v>308</v>
      </c>
      <c r="E347" s="107" t="s">
        <v>332</v>
      </c>
      <c r="F347" s="107" t="s">
        <v>257</v>
      </c>
      <c r="G347" s="108">
        <f>'Приложение 4'!F346</f>
        <v>988873</v>
      </c>
      <c r="H347" s="108">
        <f>'Приложение 4'!G346</f>
        <v>0</v>
      </c>
      <c r="I347" s="108">
        <f>'Приложение 4'!H346</f>
        <v>0</v>
      </c>
    </row>
    <row r="348" spans="1:9" ht="33.75">
      <c r="A348" s="48" t="s">
        <v>220</v>
      </c>
      <c r="B348" s="101">
        <v>701</v>
      </c>
      <c r="C348" s="107" t="s">
        <v>330</v>
      </c>
      <c r="D348" s="107" t="s">
        <v>308</v>
      </c>
      <c r="E348" s="107" t="s">
        <v>332</v>
      </c>
      <c r="F348" s="107" t="s">
        <v>266</v>
      </c>
      <c r="G348" s="108">
        <f>'Приложение 4'!F347</f>
        <v>627409</v>
      </c>
      <c r="H348" s="108">
        <v>0</v>
      </c>
      <c r="I348" s="108">
        <v>0</v>
      </c>
    </row>
    <row r="349" spans="1:9" ht="16.5">
      <c r="A349" s="70" t="s">
        <v>424</v>
      </c>
      <c r="B349" s="101">
        <v>701</v>
      </c>
      <c r="C349" s="105" t="s">
        <v>330</v>
      </c>
      <c r="D349" s="105" t="s">
        <v>310</v>
      </c>
      <c r="E349" s="105"/>
      <c r="F349" s="105"/>
      <c r="G349" s="106">
        <f aca="true" t="shared" si="27" ref="G349:I350">G350</f>
        <v>8584924.23</v>
      </c>
      <c r="H349" s="106">
        <f t="shared" si="27"/>
        <v>8000000</v>
      </c>
      <c r="I349" s="106">
        <f t="shared" si="27"/>
        <v>8000000</v>
      </c>
    </row>
    <row r="350" spans="1:9" s="37" customFormat="1" ht="33.75">
      <c r="A350" s="70" t="s">
        <v>275</v>
      </c>
      <c r="B350" s="101">
        <v>701</v>
      </c>
      <c r="C350" s="105" t="s">
        <v>330</v>
      </c>
      <c r="D350" s="105" t="s">
        <v>310</v>
      </c>
      <c r="E350" s="105" t="s">
        <v>276</v>
      </c>
      <c r="F350" s="105"/>
      <c r="G350" s="106">
        <f t="shared" si="27"/>
        <v>8584924.23</v>
      </c>
      <c r="H350" s="106">
        <f t="shared" si="27"/>
        <v>8000000</v>
      </c>
      <c r="I350" s="106">
        <f t="shared" si="27"/>
        <v>8000000</v>
      </c>
    </row>
    <row r="351" spans="1:9" ht="16.5">
      <c r="A351" s="48" t="s">
        <v>278</v>
      </c>
      <c r="B351" s="101">
        <v>701</v>
      </c>
      <c r="C351" s="107" t="s">
        <v>330</v>
      </c>
      <c r="D351" s="107" t="s">
        <v>310</v>
      </c>
      <c r="E351" s="107" t="s">
        <v>279</v>
      </c>
      <c r="F351" s="107"/>
      <c r="G351" s="108">
        <f>SUM(G352:G353)</f>
        <v>8584924.23</v>
      </c>
      <c r="H351" s="108">
        <f>SUM(H352:H353)</f>
        <v>8000000</v>
      </c>
      <c r="I351" s="108">
        <f>SUM(I352:I353)</f>
        <v>8000000</v>
      </c>
    </row>
    <row r="352" spans="1:9" ht="67.5">
      <c r="A352" s="48" t="s">
        <v>194</v>
      </c>
      <c r="B352" s="101">
        <v>701</v>
      </c>
      <c r="C352" s="107" t="s">
        <v>330</v>
      </c>
      <c r="D352" s="107" t="s">
        <v>310</v>
      </c>
      <c r="E352" s="107" t="s">
        <v>279</v>
      </c>
      <c r="F352" s="107" t="s">
        <v>229</v>
      </c>
      <c r="G352" s="108">
        <f>'Приложение 4'!F351</f>
        <v>507525.03</v>
      </c>
      <c r="H352" s="108">
        <f>'Приложение 4'!G351</f>
        <v>2120000</v>
      </c>
      <c r="I352" s="108">
        <f>'Приложение 4'!H351</f>
        <v>2120000</v>
      </c>
    </row>
    <row r="353" spans="1:9" ht="33.75">
      <c r="A353" s="48" t="s">
        <v>195</v>
      </c>
      <c r="B353" s="101">
        <v>701</v>
      </c>
      <c r="C353" s="107" t="s">
        <v>330</v>
      </c>
      <c r="D353" s="107" t="s">
        <v>310</v>
      </c>
      <c r="E353" s="107" t="s">
        <v>279</v>
      </c>
      <c r="F353" s="107" t="s">
        <v>252</v>
      </c>
      <c r="G353" s="108">
        <f>'Приложение 4'!F352</f>
        <v>8077399.2</v>
      </c>
      <c r="H353" s="108">
        <f>'Приложение 4'!G352</f>
        <v>5880000</v>
      </c>
      <c r="I353" s="108">
        <f>'Приложение 4'!H352</f>
        <v>5880000</v>
      </c>
    </row>
    <row r="354" spans="1:9" ht="51">
      <c r="A354" s="118" t="s">
        <v>384</v>
      </c>
      <c r="B354" s="101">
        <v>701</v>
      </c>
      <c r="C354" s="161" t="s">
        <v>385</v>
      </c>
      <c r="D354" s="161"/>
      <c r="E354" s="161"/>
      <c r="F354" s="162"/>
      <c r="G354" s="120">
        <f aca="true" t="shared" si="28" ref="G354:I357">G355</f>
        <v>478601816.72</v>
      </c>
      <c r="H354" s="120">
        <f t="shared" si="28"/>
        <v>0</v>
      </c>
      <c r="I354" s="120">
        <f t="shared" si="28"/>
        <v>0</v>
      </c>
    </row>
    <row r="355" spans="1:9" ht="16.5">
      <c r="A355" s="121" t="s">
        <v>386</v>
      </c>
      <c r="B355" s="101">
        <v>701</v>
      </c>
      <c r="C355" s="161" t="s">
        <v>385</v>
      </c>
      <c r="D355" s="161" t="s">
        <v>318</v>
      </c>
      <c r="E355" s="161"/>
      <c r="F355" s="162"/>
      <c r="G355" s="120">
        <f t="shared" si="28"/>
        <v>478601816.72</v>
      </c>
      <c r="H355" s="120">
        <f t="shared" si="28"/>
        <v>0</v>
      </c>
      <c r="I355" s="120">
        <f t="shared" si="28"/>
        <v>0</v>
      </c>
    </row>
    <row r="356" spans="1:9" ht="16.5">
      <c r="A356" s="70" t="s">
        <v>311</v>
      </c>
      <c r="B356" s="101">
        <v>701</v>
      </c>
      <c r="C356" s="161" t="s">
        <v>385</v>
      </c>
      <c r="D356" s="161" t="s">
        <v>318</v>
      </c>
      <c r="E356" s="161" t="s">
        <v>312</v>
      </c>
      <c r="F356" s="162"/>
      <c r="G356" s="120">
        <f t="shared" si="28"/>
        <v>478601816.72</v>
      </c>
      <c r="H356" s="120">
        <f t="shared" si="28"/>
        <v>0</v>
      </c>
      <c r="I356" s="120">
        <f t="shared" si="28"/>
        <v>0</v>
      </c>
    </row>
    <row r="357" spans="1:9" ht="16.5">
      <c r="A357" s="48" t="s">
        <v>387</v>
      </c>
      <c r="B357" s="101">
        <v>701</v>
      </c>
      <c r="C357" s="161" t="s">
        <v>385</v>
      </c>
      <c r="D357" s="161" t="s">
        <v>318</v>
      </c>
      <c r="E357" s="161" t="s">
        <v>388</v>
      </c>
      <c r="F357" s="162"/>
      <c r="G357" s="120">
        <f t="shared" si="28"/>
        <v>478601816.72</v>
      </c>
      <c r="H357" s="120">
        <f t="shared" si="28"/>
        <v>0</v>
      </c>
      <c r="I357" s="120">
        <f t="shared" si="28"/>
        <v>0</v>
      </c>
    </row>
    <row r="358" spans="1:9" ht="16.5">
      <c r="A358" s="163" t="s">
        <v>387</v>
      </c>
      <c r="B358" s="101">
        <v>701</v>
      </c>
      <c r="C358" s="164" t="s">
        <v>385</v>
      </c>
      <c r="D358" s="164" t="s">
        <v>318</v>
      </c>
      <c r="E358" s="164" t="s">
        <v>388</v>
      </c>
      <c r="F358" s="165" t="s">
        <v>391</v>
      </c>
      <c r="G358" s="17">
        <f>'Приложение 4'!F357</f>
        <v>478601816.72</v>
      </c>
      <c r="H358" s="17">
        <f>'Приложение 4'!G357</f>
        <v>0</v>
      </c>
      <c r="I358" s="17">
        <f>'Приложение 4'!H357</f>
        <v>0</v>
      </c>
    </row>
  </sheetData>
  <sheetProtection/>
  <autoFilter ref="A15:I358"/>
  <mergeCells count="1">
    <mergeCell ref="A12:I12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portrait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5"/>
  <sheetViews>
    <sheetView zoomScalePageLayoutView="0" workbookViewId="0" topLeftCell="B1">
      <selection activeCell="K9" sqref="K9"/>
    </sheetView>
  </sheetViews>
  <sheetFormatPr defaultColWidth="8.8515625" defaultRowHeight="15"/>
  <cols>
    <col min="1" max="1" width="67.140625" style="263" customWidth="1"/>
    <col min="2" max="2" width="8.140625" style="263" customWidth="1"/>
    <col min="3" max="3" width="6.140625" style="263" customWidth="1"/>
    <col min="4" max="4" width="6.421875" style="263" customWidth="1"/>
    <col min="5" max="5" width="15.421875" style="264" customWidth="1"/>
    <col min="6" max="6" width="7.00390625" style="263" customWidth="1"/>
    <col min="7" max="7" width="14.421875" style="263" customWidth="1"/>
    <col min="8" max="8" width="20.8515625" style="246" customWidth="1"/>
    <col min="9" max="10" width="21.7109375" style="246" customWidth="1"/>
    <col min="11" max="11" width="9.140625" style="263" customWidth="1"/>
    <col min="12" max="12" width="16.7109375" style="246" customWidth="1"/>
    <col min="13" max="13" width="19.28125" style="246" customWidth="1"/>
    <col min="14" max="15" width="28.28125" style="246" customWidth="1"/>
    <col min="16" max="17" width="9.140625" style="246" customWidth="1"/>
    <col min="18" max="233" width="9.140625" style="263" customWidth="1"/>
    <col min="234" max="234" width="71.421875" style="263" customWidth="1"/>
    <col min="235" max="235" width="6.140625" style="263" customWidth="1"/>
    <col min="236" max="236" width="7.421875" style="263" bestFit="1" customWidth="1"/>
    <col min="237" max="237" width="16.421875" style="263" customWidth="1"/>
    <col min="238" max="238" width="8.140625" style="263" bestFit="1" customWidth="1"/>
    <col min="239" max="239" width="19.28125" style="263" customWidth="1"/>
    <col min="240" max="241" width="0" style="263" hidden="1" customWidth="1"/>
    <col min="242" max="242" width="15.421875" style="263" bestFit="1" customWidth="1"/>
    <col min="243" max="243" width="15.00390625" style="263" bestFit="1" customWidth="1"/>
    <col min="244" max="244" width="15.00390625" style="263" customWidth="1"/>
    <col min="245" max="245" width="9.7109375" style="263" bestFit="1" customWidth="1"/>
    <col min="246" max="16384" width="9.140625" style="263" customWidth="1"/>
  </cols>
  <sheetData>
    <row r="2" ht="15.75">
      <c r="I2" s="245" t="s">
        <v>295</v>
      </c>
    </row>
    <row r="3" ht="15.75">
      <c r="I3" s="245" t="s">
        <v>303</v>
      </c>
    </row>
    <row r="4" ht="15.75">
      <c r="I4" s="245" t="s">
        <v>18</v>
      </c>
    </row>
    <row r="5" ht="15.75">
      <c r="I5" s="245" t="s">
        <v>19</v>
      </c>
    </row>
    <row r="6" ht="15.75">
      <c r="I6" s="245" t="s">
        <v>20</v>
      </c>
    </row>
    <row r="7" ht="15.75">
      <c r="I7" s="245" t="s">
        <v>781</v>
      </c>
    </row>
    <row r="8" ht="15.75">
      <c r="I8" s="245" t="s">
        <v>782</v>
      </c>
    </row>
    <row r="9" ht="15.75" customHeight="1"/>
    <row r="10" spans="1:10" ht="42" customHeight="1">
      <c r="A10" s="369" t="s">
        <v>459</v>
      </c>
      <c r="B10" s="369"/>
      <c r="C10" s="369"/>
      <c r="D10" s="369"/>
      <c r="E10" s="369"/>
      <c r="F10" s="369"/>
      <c r="G10" s="369"/>
      <c r="H10" s="369"/>
      <c r="I10" s="369"/>
      <c r="J10" s="369"/>
    </row>
    <row r="11" ht="15.75">
      <c r="J11" s="265" t="s">
        <v>430</v>
      </c>
    </row>
    <row r="12" spans="1:10" ht="51">
      <c r="A12" s="32" t="s">
        <v>22</v>
      </c>
      <c r="B12" s="32" t="s">
        <v>431</v>
      </c>
      <c r="C12" s="32" t="s">
        <v>304</v>
      </c>
      <c r="D12" s="32" t="s">
        <v>432</v>
      </c>
      <c r="E12" s="32" t="s">
        <v>433</v>
      </c>
      <c r="F12" s="58" t="s">
        <v>188</v>
      </c>
      <c r="G12" s="58" t="s">
        <v>434</v>
      </c>
      <c r="H12" s="33" t="s">
        <v>23</v>
      </c>
      <c r="I12" s="33" t="s">
        <v>24</v>
      </c>
      <c r="J12" s="33" t="s">
        <v>174</v>
      </c>
    </row>
    <row r="13" spans="1:17" s="268" customFormat="1" ht="16.5">
      <c r="A13" s="267" t="s">
        <v>435</v>
      </c>
      <c r="B13" s="35"/>
      <c r="C13" s="35"/>
      <c r="D13" s="35"/>
      <c r="E13" s="35"/>
      <c r="F13" s="168"/>
      <c r="G13" s="168"/>
      <c r="H13" s="36">
        <f>H14</f>
        <v>1879783523.1399999</v>
      </c>
      <c r="I13" s="36">
        <f>I14</f>
        <v>1502544051.56</v>
      </c>
      <c r="J13" s="36">
        <f>J14</f>
        <v>1519502028.89</v>
      </c>
      <c r="L13" s="269"/>
      <c r="M13" s="269"/>
      <c r="N13" s="269"/>
      <c r="O13" s="269"/>
      <c r="P13" s="269"/>
      <c r="Q13" s="269"/>
    </row>
    <row r="14" spans="1:10" ht="33.75">
      <c r="A14" s="267" t="s">
        <v>425</v>
      </c>
      <c r="B14" s="35">
        <v>701</v>
      </c>
      <c r="C14" s="35"/>
      <c r="D14" s="35"/>
      <c r="E14" s="35"/>
      <c r="F14" s="168"/>
      <c r="G14" s="168"/>
      <c r="H14" s="36">
        <f>H15+H57+H63+H97+H173+H190+H240+H250</f>
        <v>1879783523.1399999</v>
      </c>
      <c r="I14" s="36">
        <f>I15+I57+I63+I97+I173+I190+I240+I250</f>
        <v>1502544051.56</v>
      </c>
      <c r="J14" s="36">
        <f>J15+J57+J63+J97+J173+J190+J240+J250</f>
        <v>1519502028.89</v>
      </c>
    </row>
    <row r="15" spans="1:10" ht="16.5">
      <c r="A15" s="270" t="s">
        <v>307</v>
      </c>
      <c r="B15" s="247" t="s">
        <v>0</v>
      </c>
      <c r="C15" s="63" t="s">
        <v>308</v>
      </c>
      <c r="D15" s="63"/>
      <c r="E15" s="35"/>
      <c r="F15" s="168"/>
      <c r="G15" s="168"/>
      <c r="H15" s="36">
        <f>H16+H26+H31+H22</f>
        <v>16541149.090000002</v>
      </c>
      <c r="I15" s="36">
        <f>I16+I26+I31+I22</f>
        <v>3755853.63</v>
      </c>
      <c r="J15" s="36">
        <f>J16+J26+J31+J22</f>
        <v>3755853.63</v>
      </c>
    </row>
    <row r="16" spans="1:10" ht="51">
      <c r="A16" s="271" t="s">
        <v>321</v>
      </c>
      <c r="B16" s="248" t="s">
        <v>0</v>
      </c>
      <c r="C16" s="63" t="s">
        <v>308</v>
      </c>
      <c r="D16" s="71" t="s">
        <v>322</v>
      </c>
      <c r="E16" s="71"/>
      <c r="F16" s="170"/>
      <c r="G16" s="170"/>
      <c r="H16" s="36">
        <f>H17</f>
        <v>2862558.2800000003</v>
      </c>
      <c r="I16" s="36">
        <f aca="true" t="shared" si="0" ref="I16:J18">I17</f>
        <v>0</v>
      </c>
      <c r="J16" s="36">
        <f t="shared" si="0"/>
        <v>0</v>
      </c>
    </row>
    <row r="17" spans="1:10" ht="16.5">
      <c r="A17" s="272" t="s">
        <v>311</v>
      </c>
      <c r="B17" s="171" t="s">
        <v>0</v>
      </c>
      <c r="C17" s="63" t="s">
        <v>308</v>
      </c>
      <c r="D17" s="71" t="s">
        <v>322</v>
      </c>
      <c r="E17" s="71" t="s">
        <v>312</v>
      </c>
      <c r="F17" s="170"/>
      <c r="G17" s="170"/>
      <c r="H17" s="36">
        <f>H18</f>
        <v>2862558.2800000003</v>
      </c>
      <c r="I17" s="36">
        <f t="shared" si="0"/>
        <v>0</v>
      </c>
      <c r="J17" s="36">
        <f t="shared" si="0"/>
        <v>0</v>
      </c>
    </row>
    <row r="18" spans="1:10" ht="33.75">
      <c r="A18" s="273" t="s">
        <v>436</v>
      </c>
      <c r="B18" s="172" t="s">
        <v>0</v>
      </c>
      <c r="C18" s="47" t="s">
        <v>308</v>
      </c>
      <c r="D18" s="72" t="s">
        <v>322</v>
      </c>
      <c r="E18" s="72" t="s">
        <v>314</v>
      </c>
      <c r="F18" s="173"/>
      <c r="G18" s="173"/>
      <c r="H18" s="355">
        <f>H19</f>
        <v>2862558.2800000003</v>
      </c>
      <c r="I18" s="355">
        <f t="shared" si="0"/>
        <v>0</v>
      </c>
      <c r="J18" s="355">
        <f t="shared" si="0"/>
        <v>0</v>
      </c>
    </row>
    <row r="19" spans="1:10" ht="16.5">
      <c r="A19" s="273" t="s">
        <v>323</v>
      </c>
      <c r="B19" s="172" t="s">
        <v>0</v>
      </c>
      <c r="C19" s="72" t="s">
        <v>308</v>
      </c>
      <c r="D19" s="72" t="s">
        <v>322</v>
      </c>
      <c r="E19" s="72" t="s">
        <v>324</v>
      </c>
      <c r="F19" s="173"/>
      <c r="G19" s="173"/>
      <c r="H19" s="355">
        <f>H20+H21</f>
        <v>2862558.2800000003</v>
      </c>
      <c r="I19" s="355">
        <f>I20+I21</f>
        <v>0</v>
      </c>
      <c r="J19" s="355">
        <f>J20+J21</f>
        <v>0</v>
      </c>
    </row>
    <row r="20" spans="1:10" ht="67.5">
      <c r="A20" s="273" t="s">
        <v>194</v>
      </c>
      <c r="B20" s="172" t="s">
        <v>0</v>
      </c>
      <c r="C20" s="47" t="s">
        <v>308</v>
      </c>
      <c r="D20" s="72" t="s">
        <v>322</v>
      </c>
      <c r="E20" s="72" t="s">
        <v>324</v>
      </c>
      <c r="F20" s="173" t="s">
        <v>229</v>
      </c>
      <c r="G20" s="249" t="s">
        <v>437</v>
      </c>
      <c r="H20" s="355">
        <v>2657289.52</v>
      </c>
      <c r="I20" s="18">
        <v>0</v>
      </c>
      <c r="J20" s="18">
        <v>0</v>
      </c>
    </row>
    <row r="21" spans="1:10" ht="33.75">
      <c r="A21" s="273" t="s">
        <v>438</v>
      </c>
      <c r="B21" s="172" t="s">
        <v>0</v>
      </c>
      <c r="C21" s="72" t="s">
        <v>308</v>
      </c>
      <c r="D21" s="72" t="s">
        <v>322</v>
      </c>
      <c r="E21" s="72" t="s">
        <v>324</v>
      </c>
      <c r="F21" s="173" t="s">
        <v>252</v>
      </c>
      <c r="G21" s="249" t="s">
        <v>437</v>
      </c>
      <c r="H21" s="355">
        <v>205268.76</v>
      </c>
      <c r="I21" s="18">
        <v>0</v>
      </c>
      <c r="J21" s="18">
        <v>0</v>
      </c>
    </row>
    <row r="22" spans="1:17" s="268" customFormat="1" ht="16.5">
      <c r="A22" s="272" t="s">
        <v>439</v>
      </c>
      <c r="B22" s="172" t="s">
        <v>0</v>
      </c>
      <c r="C22" s="71" t="s">
        <v>308</v>
      </c>
      <c r="D22" s="71" t="s">
        <v>351</v>
      </c>
      <c r="E22" s="71"/>
      <c r="F22" s="174"/>
      <c r="G22" s="174"/>
      <c r="H22" s="36">
        <f>H23</f>
        <v>113094.63</v>
      </c>
      <c r="I22" s="36">
        <f aca="true" t="shared" si="1" ref="I22:J24">I23</f>
        <v>0</v>
      </c>
      <c r="J22" s="36">
        <f t="shared" si="1"/>
        <v>0</v>
      </c>
      <c r="L22" s="269"/>
      <c r="M22" s="269"/>
      <c r="N22" s="269"/>
      <c r="O22" s="269"/>
      <c r="P22" s="269"/>
      <c r="Q22" s="269"/>
    </row>
    <row r="23" spans="1:17" s="268" customFormat="1" ht="16.5">
      <c r="A23" s="272" t="s">
        <v>311</v>
      </c>
      <c r="B23" s="171" t="s">
        <v>0</v>
      </c>
      <c r="C23" s="71" t="s">
        <v>308</v>
      </c>
      <c r="D23" s="71" t="s">
        <v>351</v>
      </c>
      <c r="E23" s="71" t="s">
        <v>312</v>
      </c>
      <c r="F23" s="174"/>
      <c r="G23" s="174"/>
      <c r="H23" s="36">
        <f>H24</f>
        <v>113094.63</v>
      </c>
      <c r="I23" s="36">
        <f t="shared" si="1"/>
        <v>0</v>
      </c>
      <c r="J23" s="36">
        <f t="shared" si="1"/>
        <v>0</v>
      </c>
      <c r="L23" s="269"/>
      <c r="M23" s="269"/>
      <c r="N23" s="269"/>
      <c r="O23" s="269"/>
      <c r="P23" s="269"/>
      <c r="Q23" s="269"/>
    </row>
    <row r="24" spans="1:10" ht="51">
      <c r="A24" s="273" t="s">
        <v>440</v>
      </c>
      <c r="B24" s="172" t="s">
        <v>0</v>
      </c>
      <c r="C24" s="72" t="s">
        <v>308</v>
      </c>
      <c r="D24" s="72" t="s">
        <v>351</v>
      </c>
      <c r="E24" s="72" t="s">
        <v>441</v>
      </c>
      <c r="F24" s="173"/>
      <c r="G24" s="173"/>
      <c r="H24" s="355">
        <f>H25</f>
        <v>113094.63</v>
      </c>
      <c r="I24" s="355">
        <f t="shared" si="1"/>
        <v>0</v>
      </c>
      <c r="J24" s="355">
        <f t="shared" si="1"/>
        <v>0</v>
      </c>
    </row>
    <row r="25" spans="1:10" ht="33.75">
      <c r="A25" s="273" t="s">
        <v>438</v>
      </c>
      <c r="B25" s="172" t="s">
        <v>0</v>
      </c>
      <c r="C25" s="72" t="s">
        <v>308</v>
      </c>
      <c r="D25" s="72" t="s">
        <v>351</v>
      </c>
      <c r="E25" s="72" t="s">
        <v>441</v>
      </c>
      <c r="F25" s="173" t="s">
        <v>252</v>
      </c>
      <c r="G25" s="173"/>
      <c r="H25" s="355">
        <v>113094.63</v>
      </c>
      <c r="I25" s="355"/>
      <c r="J25" s="18"/>
    </row>
    <row r="26" spans="1:17" s="268" customFormat="1" ht="51">
      <c r="A26" s="272" t="s">
        <v>325</v>
      </c>
      <c r="B26" s="171" t="s">
        <v>0</v>
      </c>
      <c r="C26" s="71" t="s">
        <v>308</v>
      </c>
      <c r="D26" s="71" t="s">
        <v>326</v>
      </c>
      <c r="E26" s="71"/>
      <c r="F26" s="174"/>
      <c r="G26" s="174"/>
      <c r="H26" s="36">
        <f aca="true" t="shared" si="2" ref="H26:J29">H27</f>
        <v>584675</v>
      </c>
      <c r="I26" s="36">
        <f t="shared" si="2"/>
        <v>0</v>
      </c>
      <c r="J26" s="36">
        <f t="shared" si="2"/>
        <v>0</v>
      </c>
      <c r="L26" s="269"/>
      <c r="M26" s="269"/>
      <c r="N26" s="269"/>
      <c r="O26" s="269"/>
      <c r="P26" s="269"/>
      <c r="Q26" s="269"/>
    </row>
    <row r="27" spans="1:17" s="268" customFormat="1" ht="16.5">
      <c r="A27" s="272" t="s">
        <v>311</v>
      </c>
      <c r="B27" s="171" t="s">
        <v>0</v>
      </c>
      <c r="C27" s="71" t="s">
        <v>308</v>
      </c>
      <c r="D27" s="71" t="s">
        <v>326</v>
      </c>
      <c r="E27" s="71" t="s">
        <v>312</v>
      </c>
      <c r="F27" s="174"/>
      <c r="G27" s="174"/>
      <c r="H27" s="36">
        <f>H28</f>
        <v>584675</v>
      </c>
      <c r="I27" s="36">
        <f t="shared" si="2"/>
        <v>0</v>
      </c>
      <c r="J27" s="36">
        <f t="shared" si="2"/>
        <v>0</v>
      </c>
      <c r="L27" s="269"/>
      <c r="M27" s="269"/>
      <c r="N27" s="269"/>
      <c r="O27" s="269"/>
      <c r="P27" s="269"/>
      <c r="Q27" s="269"/>
    </row>
    <row r="28" spans="1:17" s="268" customFormat="1" ht="33.75">
      <c r="A28" s="273" t="s">
        <v>436</v>
      </c>
      <c r="B28" s="172" t="s">
        <v>0</v>
      </c>
      <c r="C28" s="72" t="s">
        <v>308</v>
      </c>
      <c r="D28" s="72" t="s">
        <v>326</v>
      </c>
      <c r="E28" s="72" t="s">
        <v>314</v>
      </c>
      <c r="F28" s="174"/>
      <c r="G28" s="174"/>
      <c r="H28" s="355">
        <f>H29</f>
        <v>584675</v>
      </c>
      <c r="I28" s="355">
        <f t="shared" si="2"/>
        <v>0</v>
      </c>
      <c r="J28" s="355">
        <f t="shared" si="2"/>
        <v>0</v>
      </c>
      <c r="L28" s="269"/>
      <c r="M28" s="269"/>
      <c r="N28" s="269"/>
      <c r="O28" s="269"/>
      <c r="P28" s="269"/>
      <c r="Q28" s="269"/>
    </row>
    <row r="29" spans="1:10" ht="16.5">
      <c r="A29" s="273" t="s">
        <v>323</v>
      </c>
      <c r="B29" s="172" t="s">
        <v>0</v>
      </c>
      <c r="C29" s="72" t="s">
        <v>308</v>
      </c>
      <c r="D29" s="72" t="s">
        <v>326</v>
      </c>
      <c r="E29" s="72" t="s">
        <v>324</v>
      </c>
      <c r="F29" s="173"/>
      <c r="G29" s="173"/>
      <c r="H29" s="355">
        <f t="shared" si="2"/>
        <v>584675</v>
      </c>
      <c r="I29" s="355">
        <f t="shared" si="2"/>
        <v>0</v>
      </c>
      <c r="J29" s="355">
        <f t="shared" si="2"/>
        <v>0</v>
      </c>
    </row>
    <row r="30" spans="1:10" ht="33.75">
      <c r="A30" s="273" t="s">
        <v>438</v>
      </c>
      <c r="B30" s="172" t="s">
        <v>0</v>
      </c>
      <c r="C30" s="72" t="s">
        <v>308</v>
      </c>
      <c r="D30" s="72" t="s">
        <v>326</v>
      </c>
      <c r="E30" s="72" t="s">
        <v>324</v>
      </c>
      <c r="F30" s="173" t="s">
        <v>252</v>
      </c>
      <c r="G30" s="249" t="s">
        <v>437</v>
      </c>
      <c r="H30" s="355">
        <v>584675</v>
      </c>
      <c r="I30" s="355">
        <v>0</v>
      </c>
      <c r="J30" s="18">
        <v>0</v>
      </c>
    </row>
    <row r="31" spans="1:10" ht="16.5">
      <c r="A31" s="274" t="s">
        <v>335</v>
      </c>
      <c r="B31" s="171" t="s">
        <v>0</v>
      </c>
      <c r="C31" s="63" t="s">
        <v>308</v>
      </c>
      <c r="D31" s="63" t="s">
        <v>336</v>
      </c>
      <c r="E31" s="35"/>
      <c r="F31" s="168"/>
      <c r="G31" s="168"/>
      <c r="H31" s="36">
        <f>H43+H36+H32</f>
        <v>12980821.18</v>
      </c>
      <c r="I31" s="36">
        <f>I43+I36+I32</f>
        <v>3755853.63</v>
      </c>
      <c r="J31" s="36">
        <f>J43+J36+J32</f>
        <v>3755853.63</v>
      </c>
    </row>
    <row r="32" spans="1:10" ht="16.5">
      <c r="A32" s="341" t="s">
        <v>262</v>
      </c>
      <c r="B32" s="171" t="s">
        <v>0</v>
      </c>
      <c r="C32" s="71" t="s">
        <v>308</v>
      </c>
      <c r="D32" s="71" t="s">
        <v>336</v>
      </c>
      <c r="E32" s="35">
        <v>2300000000</v>
      </c>
      <c r="F32" s="168"/>
      <c r="G32" s="168"/>
      <c r="H32" s="36">
        <f>H33</f>
        <v>2025466</v>
      </c>
      <c r="I32" s="36">
        <f aca="true" t="shared" si="3" ref="I32:J34">I33</f>
        <v>0</v>
      </c>
      <c r="J32" s="36">
        <f t="shared" si="3"/>
        <v>0</v>
      </c>
    </row>
    <row r="33" spans="1:10" ht="16.5">
      <c r="A33" s="340" t="s">
        <v>759</v>
      </c>
      <c r="B33" s="172" t="s">
        <v>0</v>
      </c>
      <c r="C33" s="72" t="s">
        <v>308</v>
      </c>
      <c r="D33" s="72" t="s">
        <v>336</v>
      </c>
      <c r="E33" s="32">
        <v>2330000000</v>
      </c>
      <c r="F33" s="58"/>
      <c r="G33" s="58"/>
      <c r="H33" s="355">
        <f>H34</f>
        <v>2025466</v>
      </c>
      <c r="I33" s="355">
        <f t="shared" si="3"/>
        <v>0</v>
      </c>
      <c r="J33" s="355">
        <f t="shared" si="3"/>
        <v>0</v>
      </c>
    </row>
    <row r="34" spans="1:10" ht="33.75">
      <c r="A34" s="342" t="s">
        <v>760</v>
      </c>
      <c r="B34" s="172" t="s">
        <v>0</v>
      </c>
      <c r="C34" s="72" t="s">
        <v>308</v>
      </c>
      <c r="D34" s="72" t="s">
        <v>336</v>
      </c>
      <c r="E34" s="32">
        <v>2330062210</v>
      </c>
      <c r="F34" s="58"/>
      <c r="G34" s="58"/>
      <c r="H34" s="355">
        <f>H35</f>
        <v>2025466</v>
      </c>
      <c r="I34" s="355">
        <f t="shared" si="3"/>
        <v>0</v>
      </c>
      <c r="J34" s="355">
        <f t="shared" si="3"/>
        <v>0</v>
      </c>
    </row>
    <row r="35" spans="1:10" ht="33.75">
      <c r="A35" s="273" t="s">
        <v>438</v>
      </c>
      <c r="B35" s="172" t="s">
        <v>0</v>
      </c>
      <c r="C35" s="72" t="s">
        <v>308</v>
      </c>
      <c r="D35" s="72" t="s">
        <v>336</v>
      </c>
      <c r="E35" s="32">
        <v>2330062210</v>
      </c>
      <c r="F35" s="58">
        <v>200</v>
      </c>
      <c r="G35" s="58" t="s">
        <v>457</v>
      </c>
      <c r="H35" s="355">
        <v>2025466</v>
      </c>
      <c r="I35" s="355">
        <v>0</v>
      </c>
      <c r="J35" s="355">
        <v>0</v>
      </c>
    </row>
    <row r="36" spans="1:10" ht="33.75">
      <c r="A36" s="272" t="s">
        <v>267</v>
      </c>
      <c r="B36" s="171" t="s">
        <v>0</v>
      </c>
      <c r="C36" s="71" t="s">
        <v>308</v>
      </c>
      <c r="D36" s="71" t="s">
        <v>336</v>
      </c>
      <c r="E36" s="71" t="s">
        <v>268</v>
      </c>
      <c r="F36" s="168"/>
      <c r="G36" s="168"/>
      <c r="H36" s="36">
        <f>H40+H37</f>
        <v>2376433</v>
      </c>
      <c r="I36" s="36">
        <f>I40+I37</f>
        <v>0</v>
      </c>
      <c r="J36" s="36">
        <f>J40+J37</f>
        <v>0</v>
      </c>
    </row>
    <row r="37" spans="1:10" ht="16.5">
      <c r="A37" s="48" t="s">
        <v>192</v>
      </c>
      <c r="B37" s="172" t="s">
        <v>0</v>
      </c>
      <c r="C37" s="107" t="s">
        <v>308</v>
      </c>
      <c r="D37" s="107" t="s">
        <v>336</v>
      </c>
      <c r="E37" s="107" t="s">
        <v>269</v>
      </c>
      <c r="F37" s="107"/>
      <c r="G37" s="168"/>
      <c r="H37" s="355">
        <f>H38</f>
        <v>902070</v>
      </c>
      <c r="I37" s="355">
        <f>I38</f>
        <v>0</v>
      </c>
      <c r="J37" s="355">
        <f>J38</f>
        <v>0</v>
      </c>
    </row>
    <row r="38" spans="1:10" ht="33.75">
      <c r="A38" s="48" t="s">
        <v>337</v>
      </c>
      <c r="B38" s="172" t="s">
        <v>0</v>
      </c>
      <c r="C38" s="107" t="s">
        <v>308</v>
      </c>
      <c r="D38" s="107" t="s">
        <v>336</v>
      </c>
      <c r="E38" s="107" t="s">
        <v>753</v>
      </c>
      <c r="F38" s="107"/>
      <c r="G38" s="168"/>
      <c r="H38" s="355">
        <f>H39</f>
        <v>902070</v>
      </c>
      <c r="I38" s="355">
        <f>I39</f>
        <v>0</v>
      </c>
      <c r="J38" s="355">
        <f>J39</f>
        <v>0</v>
      </c>
    </row>
    <row r="39" spans="1:10" ht="67.5">
      <c r="A39" s="48" t="s">
        <v>194</v>
      </c>
      <c r="B39" s="172" t="s">
        <v>0</v>
      </c>
      <c r="C39" s="107" t="s">
        <v>308</v>
      </c>
      <c r="D39" s="107" t="s">
        <v>336</v>
      </c>
      <c r="E39" s="107" t="s">
        <v>753</v>
      </c>
      <c r="F39" s="107" t="s">
        <v>229</v>
      </c>
      <c r="G39" s="58" t="s">
        <v>457</v>
      </c>
      <c r="H39" s="355">
        <v>902070</v>
      </c>
      <c r="I39" s="355">
        <v>0</v>
      </c>
      <c r="J39" s="355">
        <v>0</v>
      </c>
    </row>
    <row r="40" spans="1:10" ht="16.5">
      <c r="A40" s="273" t="s">
        <v>270</v>
      </c>
      <c r="B40" s="172" t="s">
        <v>0</v>
      </c>
      <c r="C40" s="72" t="s">
        <v>308</v>
      </c>
      <c r="D40" s="72" t="s">
        <v>336</v>
      </c>
      <c r="E40" s="72" t="s">
        <v>271</v>
      </c>
      <c r="F40" s="168"/>
      <c r="G40" s="168"/>
      <c r="H40" s="355">
        <f>H41</f>
        <v>1474363</v>
      </c>
      <c r="I40" s="355">
        <f>I41</f>
        <v>0</v>
      </c>
      <c r="J40" s="355">
        <f>J41</f>
        <v>0</v>
      </c>
    </row>
    <row r="41" spans="1:10" ht="67.5">
      <c r="A41" s="273" t="s">
        <v>656</v>
      </c>
      <c r="B41" s="172" t="s">
        <v>0</v>
      </c>
      <c r="C41" s="72" t="s">
        <v>308</v>
      </c>
      <c r="D41" s="72" t="s">
        <v>336</v>
      </c>
      <c r="E41" s="72" t="s">
        <v>657</v>
      </c>
      <c r="F41" s="168"/>
      <c r="G41" s="168"/>
      <c r="H41" s="355">
        <f>H42</f>
        <v>1474363</v>
      </c>
      <c r="I41" s="355">
        <f>I42</f>
        <v>0</v>
      </c>
      <c r="J41" s="355">
        <f>J42</f>
        <v>0</v>
      </c>
    </row>
    <row r="42" spans="1:10" ht="33.75">
      <c r="A42" s="273" t="s">
        <v>438</v>
      </c>
      <c r="B42" s="172" t="s">
        <v>0</v>
      </c>
      <c r="C42" s="72" t="s">
        <v>308</v>
      </c>
      <c r="D42" s="72" t="s">
        <v>336</v>
      </c>
      <c r="E42" s="72" t="s">
        <v>657</v>
      </c>
      <c r="F42" s="58">
        <v>200</v>
      </c>
      <c r="G42" s="58" t="s">
        <v>457</v>
      </c>
      <c r="H42" s="355">
        <v>1474363</v>
      </c>
      <c r="I42" s="355">
        <v>0</v>
      </c>
      <c r="J42" s="355">
        <v>0</v>
      </c>
    </row>
    <row r="43" spans="1:10" ht="16.5">
      <c r="A43" s="272" t="s">
        <v>311</v>
      </c>
      <c r="B43" s="171" t="s">
        <v>0</v>
      </c>
      <c r="C43" s="250" t="s">
        <v>308</v>
      </c>
      <c r="D43" s="250" t="s">
        <v>336</v>
      </c>
      <c r="E43" s="250" t="s">
        <v>312</v>
      </c>
      <c r="F43" s="251"/>
      <c r="G43" s="251"/>
      <c r="H43" s="252">
        <f>H47+H44</f>
        <v>8578922.18</v>
      </c>
      <c r="I43" s="252">
        <f>I47+I44</f>
        <v>3755853.63</v>
      </c>
      <c r="J43" s="252">
        <f>J47+J44</f>
        <v>3755853.63</v>
      </c>
    </row>
    <row r="44" spans="1:10" ht="33.75">
      <c r="A44" s="48" t="s">
        <v>313</v>
      </c>
      <c r="B44" s="337" t="s">
        <v>0</v>
      </c>
      <c r="C44" s="107" t="s">
        <v>308</v>
      </c>
      <c r="D44" s="107" t="s">
        <v>336</v>
      </c>
      <c r="E44" s="98">
        <v>9910000000</v>
      </c>
      <c r="F44" s="119"/>
      <c r="G44" s="338"/>
      <c r="H44" s="356">
        <f>H45</f>
        <v>4555920</v>
      </c>
      <c r="I44" s="356">
        <f>I45</f>
        <v>0</v>
      </c>
      <c r="J44" s="356">
        <f>J45</f>
        <v>0</v>
      </c>
    </row>
    <row r="45" spans="1:10" ht="33.75">
      <c r="A45" s="46" t="s">
        <v>337</v>
      </c>
      <c r="B45" s="337" t="s">
        <v>0</v>
      </c>
      <c r="C45" s="107" t="s">
        <v>308</v>
      </c>
      <c r="D45" s="107" t="s">
        <v>336</v>
      </c>
      <c r="E45" s="98">
        <v>9910022001</v>
      </c>
      <c r="F45" s="107"/>
      <c r="G45" s="338"/>
      <c r="H45" s="356">
        <f>H46</f>
        <v>4555920</v>
      </c>
      <c r="I45" s="356">
        <f>I46</f>
        <v>0</v>
      </c>
      <c r="J45" s="356">
        <f>J46</f>
        <v>0</v>
      </c>
    </row>
    <row r="46" spans="1:10" ht="67.5">
      <c r="A46" s="48" t="s">
        <v>194</v>
      </c>
      <c r="B46" s="337" t="s">
        <v>0</v>
      </c>
      <c r="C46" s="107" t="s">
        <v>308</v>
      </c>
      <c r="D46" s="107" t="s">
        <v>336</v>
      </c>
      <c r="E46" s="98">
        <v>9910022001</v>
      </c>
      <c r="F46" s="107" t="s">
        <v>229</v>
      </c>
      <c r="G46" s="338" t="s">
        <v>457</v>
      </c>
      <c r="H46" s="356">
        <v>4555920</v>
      </c>
      <c r="I46" s="356">
        <v>0</v>
      </c>
      <c r="J46" s="356">
        <v>0</v>
      </c>
    </row>
    <row r="47" spans="1:10" ht="16.5">
      <c r="A47" s="273" t="s">
        <v>331</v>
      </c>
      <c r="B47" s="172" t="s">
        <v>0</v>
      </c>
      <c r="C47" s="253" t="s">
        <v>308</v>
      </c>
      <c r="D47" s="253" t="s">
        <v>336</v>
      </c>
      <c r="E47" s="253" t="s">
        <v>332</v>
      </c>
      <c r="F47" s="249"/>
      <c r="G47" s="249"/>
      <c r="H47" s="175">
        <f>H48+H51+H54</f>
        <v>4023002.1799999997</v>
      </c>
      <c r="I47" s="175">
        <f>I48+I51+I54</f>
        <v>3755853.63</v>
      </c>
      <c r="J47" s="175">
        <f>J48+J51+J54</f>
        <v>3755853.63</v>
      </c>
    </row>
    <row r="48" spans="1:10" ht="102">
      <c r="A48" s="273" t="s">
        <v>460</v>
      </c>
      <c r="B48" s="172" t="s">
        <v>0</v>
      </c>
      <c r="C48" s="253" t="s">
        <v>308</v>
      </c>
      <c r="D48" s="253" t="s">
        <v>336</v>
      </c>
      <c r="E48" s="254" t="s">
        <v>461</v>
      </c>
      <c r="F48" s="249"/>
      <c r="G48" s="249"/>
      <c r="H48" s="175">
        <f>SUM(H49:H50)</f>
        <v>59625</v>
      </c>
      <c r="I48" s="175">
        <f>SUM(I49:I50)</f>
        <v>59625</v>
      </c>
      <c r="J48" s="175">
        <f>SUM(J49:J50)</f>
        <v>59625</v>
      </c>
    </row>
    <row r="49" spans="1:10" ht="67.5">
      <c r="A49" s="273" t="s">
        <v>194</v>
      </c>
      <c r="B49" s="172" t="s">
        <v>0</v>
      </c>
      <c r="C49" s="253" t="s">
        <v>308</v>
      </c>
      <c r="D49" s="253" t="s">
        <v>336</v>
      </c>
      <c r="E49" s="254" t="s">
        <v>461</v>
      </c>
      <c r="F49" s="249" t="s">
        <v>229</v>
      </c>
      <c r="G49" s="249" t="s">
        <v>457</v>
      </c>
      <c r="H49" s="357">
        <v>46850</v>
      </c>
      <c r="I49" s="357">
        <v>46850</v>
      </c>
      <c r="J49" s="357">
        <v>46850</v>
      </c>
    </row>
    <row r="50" spans="1:17" s="268" customFormat="1" ht="33.75">
      <c r="A50" s="273" t="s">
        <v>195</v>
      </c>
      <c r="B50" s="172" t="s">
        <v>0</v>
      </c>
      <c r="C50" s="253" t="s">
        <v>308</v>
      </c>
      <c r="D50" s="253" t="s">
        <v>336</v>
      </c>
      <c r="E50" s="254" t="s">
        <v>461</v>
      </c>
      <c r="F50" s="249" t="s">
        <v>252</v>
      </c>
      <c r="G50" s="249" t="s">
        <v>457</v>
      </c>
      <c r="H50" s="357">
        <v>12775</v>
      </c>
      <c r="I50" s="357">
        <v>12775</v>
      </c>
      <c r="J50" s="357">
        <v>12775</v>
      </c>
      <c r="L50" s="269"/>
      <c r="M50" s="269"/>
      <c r="N50" s="269"/>
      <c r="O50" s="269"/>
      <c r="P50" s="269"/>
      <c r="Q50" s="269"/>
    </row>
    <row r="51" spans="1:10" ht="33.75">
      <c r="A51" s="273" t="s">
        <v>462</v>
      </c>
      <c r="B51" s="172" t="s">
        <v>0</v>
      </c>
      <c r="C51" s="253" t="s">
        <v>308</v>
      </c>
      <c r="D51" s="253" t="s">
        <v>336</v>
      </c>
      <c r="E51" s="254" t="s">
        <v>442</v>
      </c>
      <c r="F51" s="249"/>
      <c r="G51" s="249"/>
      <c r="H51" s="357">
        <f>SUM(H52:H53)</f>
        <v>2513387.3</v>
      </c>
      <c r="I51" s="357">
        <f>SUM(I52:I53)</f>
        <v>2349490</v>
      </c>
      <c r="J51" s="357">
        <f>SUM(J52:J53)</f>
        <v>2349490</v>
      </c>
    </row>
    <row r="52" spans="1:10" ht="67.5">
      <c r="A52" s="273" t="s">
        <v>194</v>
      </c>
      <c r="B52" s="172" t="s">
        <v>0</v>
      </c>
      <c r="C52" s="253" t="s">
        <v>308</v>
      </c>
      <c r="D52" s="253" t="s">
        <v>336</v>
      </c>
      <c r="E52" s="254" t="s">
        <v>442</v>
      </c>
      <c r="F52" s="249" t="s">
        <v>229</v>
      </c>
      <c r="G52" s="249" t="s">
        <v>457</v>
      </c>
      <c r="H52" s="357">
        <f>2371252-23695-82000</f>
        <v>2265557</v>
      </c>
      <c r="I52" s="357">
        <v>2250062</v>
      </c>
      <c r="J52" s="357">
        <v>2259545</v>
      </c>
    </row>
    <row r="53" spans="1:10" ht="33.75">
      <c r="A53" s="273" t="s">
        <v>195</v>
      </c>
      <c r="B53" s="172" t="s">
        <v>0</v>
      </c>
      <c r="C53" s="253" t="s">
        <v>308</v>
      </c>
      <c r="D53" s="253" t="s">
        <v>336</v>
      </c>
      <c r="E53" s="254" t="s">
        <v>442</v>
      </c>
      <c r="F53" s="249" t="s">
        <v>252</v>
      </c>
      <c r="G53" s="249" t="s">
        <v>457</v>
      </c>
      <c r="H53" s="357">
        <f>142135.3+23695+82000</f>
        <v>247830.3</v>
      </c>
      <c r="I53" s="357">
        <v>99428</v>
      </c>
      <c r="J53" s="357">
        <v>89945</v>
      </c>
    </row>
    <row r="54" spans="1:10" ht="67.5">
      <c r="A54" s="275" t="s">
        <v>463</v>
      </c>
      <c r="B54" s="172" t="s">
        <v>0</v>
      </c>
      <c r="C54" s="253" t="s">
        <v>308</v>
      </c>
      <c r="D54" s="253" t="s">
        <v>336</v>
      </c>
      <c r="E54" s="253" t="s">
        <v>464</v>
      </c>
      <c r="F54" s="249"/>
      <c r="G54" s="249"/>
      <c r="H54" s="175">
        <f>H55+H56</f>
        <v>1449989.88</v>
      </c>
      <c r="I54" s="175">
        <f>I55+I56</f>
        <v>1346738.63</v>
      </c>
      <c r="J54" s="175">
        <f>J55+J56</f>
        <v>1346738.63</v>
      </c>
    </row>
    <row r="55" spans="1:10" ht="67.5">
      <c r="A55" s="273" t="s">
        <v>194</v>
      </c>
      <c r="B55" s="172" t="s">
        <v>0</v>
      </c>
      <c r="C55" s="253" t="s">
        <v>308</v>
      </c>
      <c r="D55" s="253" t="s">
        <v>336</v>
      </c>
      <c r="E55" s="253" t="s">
        <v>464</v>
      </c>
      <c r="F55" s="249" t="s">
        <v>229</v>
      </c>
      <c r="G55" s="249" t="s">
        <v>457</v>
      </c>
      <c r="H55" s="175">
        <f>1346738.63+103251.25-106532</f>
        <v>1343457.88</v>
      </c>
      <c r="I55" s="358">
        <v>1346738.63</v>
      </c>
      <c r="J55" s="358">
        <v>1346738.63</v>
      </c>
    </row>
    <row r="56" spans="1:10" ht="33.75">
      <c r="A56" s="273" t="s">
        <v>195</v>
      </c>
      <c r="B56" s="172" t="s">
        <v>0</v>
      </c>
      <c r="C56" s="253" t="s">
        <v>308</v>
      </c>
      <c r="D56" s="253" t="s">
        <v>336</v>
      </c>
      <c r="E56" s="253" t="s">
        <v>464</v>
      </c>
      <c r="F56" s="249" t="s">
        <v>252</v>
      </c>
      <c r="G56" s="249" t="s">
        <v>457</v>
      </c>
      <c r="H56" s="175">
        <v>106532</v>
      </c>
      <c r="I56" s="358">
        <v>0</v>
      </c>
      <c r="J56" s="358">
        <v>0</v>
      </c>
    </row>
    <row r="57" spans="1:10" ht="33.75">
      <c r="A57" s="276" t="s">
        <v>343</v>
      </c>
      <c r="B57" s="171" t="s">
        <v>0</v>
      </c>
      <c r="C57" s="250" t="s">
        <v>318</v>
      </c>
      <c r="D57" s="250"/>
      <c r="E57" s="250"/>
      <c r="F57" s="251"/>
      <c r="G57" s="251"/>
      <c r="H57" s="252">
        <f>H58</f>
        <v>747177</v>
      </c>
      <c r="I57" s="252">
        <f>I58</f>
        <v>0</v>
      </c>
      <c r="J57" s="252">
        <f>J58</f>
        <v>0</v>
      </c>
    </row>
    <row r="58" spans="1:10" ht="51">
      <c r="A58" s="272" t="s">
        <v>344</v>
      </c>
      <c r="B58" s="171" t="s">
        <v>0</v>
      </c>
      <c r="C58" s="250" t="s">
        <v>318</v>
      </c>
      <c r="D58" s="250" t="s">
        <v>345</v>
      </c>
      <c r="E58" s="250"/>
      <c r="F58" s="250"/>
      <c r="G58" s="250"/>
      <c r="H58" s="252">
        <f>H59</f>
        <v>747177</v>
      </c>
      <c r="I58" s="252">
        <f aca="true" t="shared" si="4" ref="I58:J61">I59</f>
        <v>0</v>
      </c>
      <c r="J58" s="252">
        <f t="shared" si="4"/>
        <v>0</v>
      </c>
    </row>
    <row r="59" spans="1:10" ht="16.5">
      <c r="A59" s="278" t="s">
        <v>311</v>
      </c>
      <c r="B59" s="171" t="s">
        <v>0</v>
      </c>
      <c r="C59" s="250" t="s">
        <v>318</v>
      </c>
      <c r="D59" s="250" t="s">
        <v>345</v>
      </c>
      <c r="E59" s="35">
        <v>9900000000</v>
      </c>
      <c r="F59" s="35"/>
      <c r="G59" s="250"/>
      <c r="H59" s="252">
        <f>H60</f>
        <v>747177</v>
      </c>
      <c r="I59" s="252">
        <f t="shared" si="4"/>
        <v>0</v>
      </c>
      <c r="J59" s="252">
        <f t="shared" si="4"/>
        <v>0</v>
      </c>
    </row>
    <row r="60" spans="1:10" ht="33.75">
      <c r="A60" s="273" t="s">
        <v>313</v>
      </c>
      <c r="B60" s="172" t="s">
        <v>0</v>
      </c>
      <c r="C60" s="253" t="s">
        <v>318</v>
      </c>
      <c r="D60" s="253" t="s">
        <v>345</v>
      </c>
      <c r="E60" s="32">
        <v>9910000000</v>
      </c>
      <c r="F60" s="32"/>
      <c r="G60" s="253"/>
      <c r="H60" s="175">
        <f>H61</f>
        <v>747177</v>
      </c>
      <c r="I60" s="175">
        <f t="shared" si="4"/>
        <v>0</v>
      </c>
      <c r="J60" s="175">
        <f t="shared" si="4"/>
        <v>0</v>
      </c>
    </row>
    <row r="61" spans="1:10" ht="33.75">
      <c r="A61" s="279" t="s">
        <v>337</v>
      </c>
      <c r="B61" s="172" t="s">
        <v>0</v>
      </c>
      <c r="C61" s="253" t="s">
        <v>318</v>
      </c>
      <c r="D61" s="253" t="s">
        <v>345</v>
      </c>
      <c r="E61" s="32">
        <v>9910022001</v>
      </c>
      <c r="F61" s="32"/>
      <c r="G61" s="253"/>
      <c r="H61" s="175">
        <f>H62</f>
        <v>747177</v>
      </c>
      <c r="I61" s="175">
        <f t="shared" si="4"/>
        <v>0</v>
      </c>
      <c r="J61" s="175">
        <f t="shared" si="4"/>
        <v>0</v>
      </c>
    </row>
    <row r="62" spans="1:10" ht="67.5">
      <c r="A62" s="273" t="s">
        <v>194</v>
      </c>
      <c r="B62" s="172" t="s">
        <v>0</v>
      </c>
      <c r="C62" s="253" t="s">
        <v>318</v>
      </c>
      <c r="D62" s="253" t="s">
        <v>345</v>
      </c>
      <c r="E62" s="32">
        <v>9910022001</v>
      </c>
      <c r="F62" s="72" t="s">
        <v>229</v>
      </c>
      <c r="G62" s="253" t="s">
        <v>457</v>
      </c>
      <c r="H62" s="175">
        <f>313750+433427</f>
        <v>747177</v>
      </c>
      <c r="I62" s="175">
        <v>0</v>
      </c>
      <c r="J62" s="18">
        <v>0</v>
      </c>
    </row>
    <row r="63" spans="1:10" ht="16.5">
      <c r="A63" s="276" t="s">
        <v>348</v>
      </c>
      <c r="B63" s="171" t="s">
        <v>0</v>
      </c>
      <c r="C63" s="250" t="s">
        <v>322</v>
      </c>
      <c r="D63" s="250"/>
      <c r="E63" s="250"/>
      <c r="F63" s="251"/>
      <c r="G63" s="251"/>
      <c r="H63" s="252">
        <f>H71+H92+H64</f>
        <v>157474486.75</v>
      </c>
      <c r="I63" s="252">
        <f>I71+I92+I64</f>
        <v>61514783.19</v>
      </c>
      <c r="J63" s="252">
        <f>J71+J92+J64</f>
        <v>63250270.519999996</v>
      </c>
    </row>
    <row r="64" spans="1:10" ht="16.5">
      <c r="A64" s="276" t="s">
        <v>349</v>
      </c>
      <c r="B64" s="171" t="s">
        <v>0</v>
      </c>
      <c r="C64" s="250" t="s">
        <v>322</v>
      </c>
      <c r="D64" s="250" t="s">
        <v>308</v>
      </c>
      <c r="E64" s="250"/>
      <c r="F64" s="251"/>
      <c r="G64" s="251"/>
      <c r="H64" s="252">
        <f>H65</f>
        <v>1340692.42</v>
      </c>
      <c r="I64" s="252">
        <f aca="true" t="shared" si="5" ref="I64:J66">I65</f>
        <v>604274</v>
      </c>
      <c r="J64" s="252">
        <f t="shared" si="5"/>
        <v>604274</v>
      </c>
    </row>
    <row r="65" spans="1:10" ht="16.5">
      <c r="A65" s="272" t="s">
        <v>311</v>
      </c>
      <c r="B65" s="171" t="s">
        <v>0</v>
      </c>
      <c r="C65" s="250" t="s">
        <v>322</v>
      </c>
      <c r="D65" s="250" t="s">
        <v>308</v>
      </c>
      <c r="E65" s="250" t="s">
        <v>312</v>
      </c>
      <c r="F65" s="251"/>
      <c r="G65" s="251"/>
      <c r="H65" s="252">
        <f>H66</f>
        <v>1340692.42</v>
      </c>
      <c r="I65" s="252">
        <f t="shared" si="5"/>
        <v>604274</v>
      </c>
      <c r="J65" s="252">
        <f t="shared" si="5"/>
        <v>604274</v>
      </c>
    </row>
    <row r="66" spans="1:10" ht="16.5">
      <c r="A66" s="273" t="s">
        <v>331</v>
      </c>
      <c r="B66" s="172" t="s">
        <v>0</v>
      </c>
      <c r="C66" s="253" t="s">
        <v>322</v>
      </c>
      <c r="D66" s="253" t="s">
        <v>308</v>
      </c>
      <c r="E66" s="253" t="s">
        <v>332</v>
      </c>
      <c r="F66" s="249"/>
      <c r="G66" s="249"/>
      <c r="H66" s="175">
        <f>H67</f>
        <v>1340692.42</v>
      </c>
      <c r="I66" s="175">
        <f t="shared" si="5"/>
        <v>604274</v>
      </c>
      <c r="J66" s="175">
        <f t="shared" si="5"/>
        <v>604274</v>
      </c>
    </row>
    <row r="67" spans="1:10" ht="33.75">
      <c r="A67" s="280" t="s">
        <v>14</v>
      </c>
      <c r="B67" s="172" t="s">
        <v>0</v>
      </c>
      <c r="C67" s="253" t="s">
        <v>322</v>
      </c>
      <c r="D67" s="253" t="s">
        <v>308</v>
      </c>
      <c r="E67" s="253" t="s">
        <v>443</v>
      </c>
      <c r="F67" s="249"/>
      <c r="G67" s="249"/>
      <c r="H67" s="175">
        <f>H68+H69+H70</f>
        <v>1340692.42</v>
      </c>
      <c r="I67" s="175">
        <f>I68+I69+I70</f>
        <v>604274</v>
      </c>
      <c r="J67" s="175">
        <f>J68+J69+J70</f>
        <v>604274</v>
      </c>
    </row>
    <row r="68" spans="1:10" ht="67.5">
      <c r="A68" s="273" t="s">
        <v>194</v>
      </c>
      <c r="B68" s="172" t="s">
        <v>0</v>
      </c>
      <c r="C68" s="253" t="s">
        <v>322</v>
      </c>
      <c r="D68" s="253" t="s">
        <v>308</v>
      </c>
      <c r="E68" s="253" t="s">
        <v>443</v>
      </c>
      <c r="F68" s="249" t="s">
        <v>229</v>
      </c>
      <c r="G68" s="249" t="s">
        <v>457</v>
      </c>
      <c r="H68" s="359">
        <v>825505</v>
      </c>
      <c r="I68" s="359">
        <v>527533</v>
      </c>
      <c r="J68" s="359">
        <v>566343</v>
      </c>
    </row>
    <row r="69" spans="1:10" ht="33.75">
      <c r="A69" s="273" t="s">
        <v>195</v>
      </c>
      <c r="B69" s="172" t="s">
        <v>0</v>
      </c>
      <c r="C69" s="253" t="s">
        <v>322</v>
      </c>
      <c r="D69" s="253" t="s">
        <v>308</v>
      </c>
      <c r="E69" s="253" t="s">
        <v>443</v>
      </c>
      <c r="F69" s="249" t="s">
        <v>252</v>
      </c>
      <c r="G69" s="249" t="s">
        <v>457</v>
      </c>
      <c r="H69" s="175">
        <v>36731.16</v>
      </c>
      <c r="I69" s="175">
        <v>76741</v>
      </c>
      <c r="J69" s="175">
        <v>37931</v>
      </c>
    </row>
    <row r="70" spans="1:10" ht="16.5">
      <c r="A70" s="273" t="s">
        <v>196</v>
      </c>
      <c r="B70" s="172" t="s">
        <v>0</v>
      </c>
      <c r="C70" s="253" t="s">
        <v>322</v>
      </c>
      <c r="D70" s="253" t="s">
        <v>308</v>
      </c>
      <c r="E70" s="253" t="s">
        <v>443</v>
      </c>
      <c r="F70" s="249" t="s">
        <v>257</v>
      </c>
      <c r="G70" s="249" t="s">
        <v>457</v>
      </c>
      <c r="H70" s="175">
        <v>478456.26</v>
      </c>
      <c r="I70" s="175"/>
      <c r="J70" s="175"/>
    </row>
    <row r="71" spans="1:10" ht="16.5">
      <c r="A71" s="276" t="s">
        <v>350</v>
      </c>
      <c r="B71" s="171" t="s">
        <v>0</v>
      </c>
      <c r="C71" s="250" t="s">
        <v>322</v>
      </c>
      <c r="D71" s="250" t="s">
        <v>351</v>
      </c>
      <c r="E71" s="253"/>
      <c r="F71" s="249"/>
      <c r="G71" s="249"/>
      <c r="H71" s="252">
        <f>H72+H88</f>
        <v>110743217.09</v>
      </c>
      <c r="I71" s="252">
        <f>I72+I88</f>
        <v>36740270</v>
      </c>
      <c r="J71" s="252">
        <f>J72+J88</f>
        <v>36740270</v>
      </c>
    </row>
    <row r="72" spans="1:10" ht="51">
      <c r="A72" s="276" t="s">
        <v>225</v>
      </c>
      <c r="B72" s="171" t="s">
        <v>0</v>
      </c>
      <c r="C72" s="250" t="s">
        <v>322</v>
      </c>
      <c r="D72" s="250" t="s">
        <v>351</v>
      </c>
      <c r="E72" s="250" t="s">
        <v>226</v>
      </c>
      <c r="F72" s="251"/>
      <c r="G72" s="251"/>
      <c r="H72" s="252">
        <f>H73+H77</f>
        <v>108664144.87</v>
      </c>
      <c r="I72" s="252">
        <f>I73+I77</f>
        <v>36740270</v>
      </c>
      <c r="J72" s="252">
        <f>J73+J77</f>
        <v>36740270</v>
      </c>
    </row>
    <row r="73" spans="1:10" ht="16.5">
      <c r="A73" s="281" t="s">
        <v>227</v>
      </c>
      <c r="B73" s="171" t="s">
        <v>0</v>
      </c>
      <c r="C73" s="250" t="s">
        <v>322</v>
      </c>
      <c r="D73" s="250" t="s">
        <v>351</v>
      </c>
      <c r="E73" s="250" t="s">
        <v>228</v>
      </c>
      <c r="F73" s="251"/>
      <c r="G73" s="251"/>
      <c r="H73" s="252">
        <f>H74</f>
        <v>11785811.72</v>
      </c>
      <c r="I73" s="252">
        <f>I74</f>
        <v>10770270</v>
      </c>
      <c r="J73" s="252">
        <f>J74</f>
        <v>10770270</v>
      </c>
    </row>
    <row r="74" spans="1:10" ht="51">
      <c r="A74" s="273" t="s">
        <v>465</v>
      </c>
      <c r="B74" s="172" t="s">
        <v>0</v>
      </c>
      <c r="C74" s="253" t="s">
        <v>322</v>
      </c>
      <c r="D74" s="253" t="s">
        <v>351</v>
      </c>
      <c r="E74" s="253" t="s">
        <v>444</v>
      </c>
      <c r="F74" s="249"/>
      <c r="G74" s="249"/>
      <c r="H74" s="175">
        <f>SUM(H75:H76)</f>
        <v>11785811.72</v>
      </c>
      <c r="I74" s="175">
        <f>SUM(I75:I76)</f>
        <v>10770270</v>
      </c>
      <c r="J74" s="175">
        <f>SUM(J75:J76)</f>
        <v>10770270</v>
      </c>
    </row>
    <row r="75" spans="1:10" ht="67.5">
      <c r="A75" s="273" t="s">
        <v>194</v>
      </c>
      <c r="B75" s="172" t="s">
        <v>0</v>
      </c>
      <c r="C75" s="253" t="s">
        <v>322</v>
      </c>
      <c r="D75" s="253" t="s">
        <v>351</v>
      </c>
      <c r="E75" s="253" t="s">
        <v>444</v>
      </c>
      <c r="F75" s="249" t="s">
        <v>229</v>
      </c>
      <c r="G75" s="249" t="s">
        <v>457</v>
      </c>
      <c r="H75" s="175">
        <f>10706234.33+830266.79</f>
        <v>11536501.120000001</v>
      </c>
      <c r="I75" s="18">
        <v>10520959.4</v>
      </c>
      <c r="J75" s="18">
        <v>10520959.4</v>
      </c>
    </row>
    <row r="76" spans="1:17" s="268" customFormat="1" ht="33.75">
      <c r="A76" s="273" t="s">
        <v>195</v>
      </c>
      <c r="B76" s="172" t="s">
        <v>0</v>
      </c>
      <c r="C76" s="253" t="s">
        <v>322</v>
      </c>
      <c r="D76" s="253" t="s">
        <v>351</v>
      </c>
      <c r="E76" s="253" t="s">
        <v>444</v>
      </c>
      <c r="F76" s="249" t="s">
        <v>252</v>
      </c>
      <c r="G76" s="249" t="s">
        <v>457</v>
      </c>
      <c r="H76" s="175">
        <v>249310.6</v>
      </c>
      <c r="I76" s="18">
        <v>249310.6</v>
      </c>
      <c r="J76" s="18">
        <v>249310.6</v>
      </c>
      <c r="L76" s="269"/>
      <c r="M76" s="269"/>
      <c r="N76" s="269"/>
      <c r="O76" s="269"/>
      <c r="P76" s="269"/>
      <c r="Q76" s="269"/>
    </row>
    <row r="77" spans="1:10" ht="33.75">
      <c r="A77" s="280" t="s">
        <v>300</v>
      </c>
      <c r="B77" s="172" t="s">
        <v>0</v>
      </c>
      <c r="C77" s="253" t="s">
        <v>322</v>
      </c>
      <c r="D77" s="253" t="s">
        <v>351</v>
      </c>
      <c r="E77" s="32" t="s">
        <v>299</v>
      </c>
      <c r="F77" s="249"/>
      <c r="G77" s="249"/>
      <c r="H77" s="175">
        <f>H82+H84+H86+H80+H78</f>
        <v>96878333.15</v>
      </c>
      <c r="I77" s="175">
        <f>I82+I84+I86+I80+I78</f>
        <v>25970000</v>
      </c>
      <c r="J77" s="175">
        <f>J82+J84+J86+J80+J78</f>
        <v>25970000</v>
      </c>
    </row>
    <row r="78" spans="1:10" ht="16.5">
      <c r="A78" s="280" t="s">
        <v>230</v>
      </c>
      <c r="B78" s="172" t="s">
        <v>0</v>
      </c>
      <c r="C78" s="253" t="s">
        <v>322</v>
      </c>
      <c r="D78" s="253" t="s">
        <v>351</v>
      </c>
      <c r="E78" s="32" t="s">
        <v>774</v>
      </c>
      <c r="F78" s="249"/>
      <c r="G78" s="249"/>
      <c r="H78" s="175">
        <f>H79</f>
        <v>469000</v>
      </c>
      <c r="I78" s="175">
        <f>I79</f>
        <v>0</v>
      </c>
      <c r="J78" s="175">
        <f>J79</f>
        <v>0</v>
      </c>
    </row>
    <row r="79" spans="1:10" ht="16.5">
      <c r="A79" s="273" t="s">
        <v>197</v>
      </c>
      <c r="B79" s="172" t="s">
        <v>0</v>
      </c>
      <c r="C79" s="253" t="s">
        <v>322</v>
      </c>
      <c r="D79" s="253" t="s">
        <v>351</v>
      </c>
      <c r="E79" s="32" t="s">
        <v>774</v>
      </c>
      <c r="F79" s="249" t="s">
        <v>231</v>
      </c>
      <c r="G79" s="249" t="s">
        <v>457</v>
      </c>
      <c r="H79" s="175">
        <v>469000</v>
      </c>
      <c r="I79" s="175">
        <v>0</v>
      </c>
      <c r="J79" s="175">
        <v>0</v>
      </c>
    </row>
    <row r="80" spans="1:10" ht="51">
      <c r="A80" s="280" t="s">
        <v>466</v>
      </c>
      <c r="B80" s="172" t="s">
        <v>0</v>
      </c>
      <c r="C80" s="253" t="s">
        <v>322</v>
      </c>
      <c r="D80" s="253" t="s">
        <v>351</v>
      </c>
      <c r="E80" s="32" t="s">
        <v>467</v>
      </c>
      <c r="F80" s="249"/>
      <c r="G80" s="249"/>
      <c r="H80" s="175">
        <f>H81</f>
        <v>7674372.65</v>
      </c>
      <c r="I80" s="175">
        <f>I81</f>
        <v>0</v>
      </c>
      <c r="J80" s="175">
        <f>J81</f>
        <v>0</v>
      </c>
    </row>
    <row r="81" spans="1:10" ht="16.5">
      <c r="A81" s="273" t="s">
        <v>197</v>
      </c>
      <c r="B81" s="172" t="s">
        <v>0</v>
      </c>
      <c r="C81" s="253" t="s">
        <v>322</v>
      </c>
      <c r="D81" s="253" t="s">
        <v>351</v>
      </c>
      <c r="E81" s="32" t="s">
        <v>467</v>
      </c>
      <c r="F81" s="249" t="s">
        <v>231</v>
      </c>
      <c r="G81" s="249" t="s">
        <v>457</v>
      </c>
      <c r="H81" s="175">
        <v>7674372.65</v>
      </c>
      <c r="I81" s="175">
        <v>0</v>
      </c>
      <c r="J81" s="175">
        <v>0</v>
      </c>
    </row>
    <row r="82" spans="1:10" ht="51">
      <c r="A82" s="280" t="s">
        <v>468</v>
      </c>
      <c r="B82" s="172" t="s">
        <v>0</v>
      </c>
      <c r="C82" s="253" t="s">
        <v>322</v>
      </c>
      <c r="D82" s="253" t="s">
        <v>351</v>
      </c>
      <c r="E82" s="32" t="s">
        <v>469</v>
      </c>
      <c r="F82" s="249"/>
      <c r="G82" s="249"/>
      <c r="H82" s="175">
        <f>H83</f>
        <v>9730000</v>
      </c>
      <c r="I82" s="175">
        <v>0</v>
      </c>
      <c r="J82" s="175">
        <v>0</v>
      </c>
    </row>
    <row r="83" spans="1:10" ht="16.5">
      <c r="A83" s="273" t="s">
        <v>197</v>
      </c>
      <c r="B83" s="172" t="s">
        <v>0</v>
      </c>
      <c r="C83" s="253" t="s">
        <v>322</v>
      </c>
      <c r="D83" s="253" t="s">
        <v>351</v>
      </c>
      <c r="E83" s="32" t="s">
        <v>469</v>
      </c>
      <c r="F83" s="249" t="s">
        <v>231</v>
      </c>
      <c r="G83" s="249" t="s">
        <v>457</v>
      </c>
      <c r="H83" s="175">
        <v>9730000</v>
      </c>
      <c r="I83" s="175">
        <v>0</v>
      </c>
      <c r="J83" s="175">
        <v>0</v>
      </c>
    </row>
    <row r="84" spans="1:10" ht="51">
      <c r="A84" s="280" t="s">
        <v>470</v>
      </c>
      <c r="B84" s="172" t="s">
        <v>0</v>
      </c>
      <c r="C84" s="253" t="s">
        <v>322</v>
      </c>
      <c r="D84" s="253" t="s">
        <v>351</v>
      </c>
      <c r="E84" s="32" t="s">
        <v>471</v>
      </c>
      <c r="F84" s="249"/>
      <c r="G84" s="249"/>
      <c r="H84" s="175">
        <f>H85</f>
        <v>11938960.5</v>
      </c>
      <c r="I84" s="175">
        <f>I85</f>
        <v>0</v>
      </c>
      <c r="J84" s="175">
        <f>J85</f>
        <v>0</v>
      </c>
    </row>
    <row r="85" spans="1:10" ht="16.5">
      <c r="A85" s="273" t="s">
        <v>197</v>
      </c>
      <c r="B85" s="172" t="s">
        <v>0</v>
      </c>
      <c r="C85" s="253" t="s">
        <v>322</v>
      </c>
      <c r="D85" s="253" t="s">
        <v>351</v>
      </c>
      <c r="E85" s="32" t="s">
        <v>471</v>
      </c>
      <c r="F85" s="249" t="s">
        <v>231</v>
      </c>
      <c r="G85" s="249" t="s">
        <v>457</v>
      </c>
      <c r="H85" s="175">
        <v>11938960.5</v>
      </c>
      <c r="I85" s="175">
        <v>0</v>
      </c>
      <c r="J85" s="175">
        <v>0</v>
      </c>
    </row>
    <row r="86" spans="1:10" ht="51">
      <c r="A86" s="273" t="s">
        <v>472</v>
      </c>
      <c r="B86" s="172" t="s">
        <v>0</v>
      </c>
      <c r="C86" s="253" t="s">
        <v>322</v>
      </c>
      <c r="D86" s="253" t="s">
        <v>351</v>
      </c>
      <c r="E86" s="32" t="s">
        <v>473</v>
      </c>
      <c r="F86" s="249"/>
      <c r="G86" s="253"/>
      <c r="H86" s="175">
        <f>H87</f>
        <v>67066000</v>
      </c>
      <c r="I86" s="175">
        <f>I87</f>
        <v>25970000</v>
      </c>
      <c r="J86" s="175">
        <f>J87</f>
        <v>25970000</v>
      </c>
    </row>
    <row r="87" spans="1:10" ht="16.5">
      <c r="A87" s="273" t="s">
        <v>197</v>
      </c>
      <c r="B87" s="172" t="s">
        <v>0</v>
      </c>
      <c r="C87" s="253" t="s">
        <v>322</v>
      </c>
      <c r="D87" s="253" t="s">
        <v>351</v>
      </c>
      <c r="E87" s="32" t="s">
        <v>473</v>
      </c>
      <c r="F87" s="249" t="s">
        <v>231</v>
      </c>
      <c r="G87" s="253" t="s">
        <v>457</v>
      </c>
      <c r="H87" s="358">
        <v>67066000</v>
      </c>
      <c r="I87" s="358">
        <v>25970000</v>
      </c>
      <c r="J87" s="358">
        <v>25970000</v>
      </c>
    </row>
    <row r="88" spans="1:10" ht="16.5">
      <c r="A88" s="276" t="s">
        <v>311</v>
      </c>
      <c r="B88" s="171" t="s">
        <v>0</v>
      </c>
      <c r="C88" s="250" t="s">
        <v>322</v>
      </c>
      <c r="D88" s="250" t="s">
        <v>351</v>
      </c>
      <c r="E88" s="35">
        <v>9900000000</v>
      </c>
      <c r="F88" s="251"/>
      <c r="G88" s="251"/>
      <c r="H88" s="252">
        <f>H89</f>
        <v>2079072.22</v>
      </c>
      <c r="I88" s="252">
        <f aca="true" t="shared" si="6" ref="I88:J90">I89</f>
        <v>0</v>
      </c>
      <c r="J88" s="252">
        <f t="shared" si="6"/>
        <v>0</v>
      </c>
    </row>
    <row r="89" spans="1:10" ht="16.5">
      <c r="A89" s="277" t="s">
        <v>387</v>
      </c>
      <c r="B89" s="172" t="s">
        <v>0</v>
      </c>
      <c r="C89" s="253" t="s">
        <v>322</v>
      </c>
      <c r="D89" s="253" t="s">
        <v>351</v>
      </c>
      <c r="E89" s="32">
        <v>9960000000</v>
      </c>
      <c r="F89" s="249"/>
      <c r="G89" s="249"/>
      <c r="H89" s="175">
        <f>H90</f>
        <v>2079072.22</v>
      </c>
      <c r="I89" s="175">
        <f t="shared" si="6"/>
        <v>0</v>
      </c>
      <c r="J89" s="175">
        <f t="shared" si="6"/>
        <v>0</v>
      </c>
    </row>
    <row r="90" spans="1:10" ht="67.5">
      <c r="A90" s="282" t="s">
        <v>474</v>
      </c>
      <c r="B90" s="172" t="s">
        <v>0</v>
      </c>
      <c r="C90" s="253" t="s">
        <v>322</v>
      </c>
      <c r="D90" s="253" t="s">
        <v>351</v>
      </c>
      <c r="E90" s="253" t="s">
        <v>445</v>
      </c>
      <c r="F90" s="249"/>
      <c r="G90" s="249"/>
      <c r="H90" s="359">
        <f>H91</f>
        <v>2079072.22</v>
      </c>
      <c r="I90" s="359">
        <f t="shared" si="6"/>
        <v>0</v>
      </c>
      <c r="J90" s="359">
        <f t="shared" si="6"/>
        <v>0</v>
      </c>
    </row>
    <row r="91" spans="1:10" ht="16.5">
      <c r="A91" s="280" t="s">
        <v>387</v>
      </c>
      <c r="B91" s="172" t="s">
        <v>0</v>
      </c>
      <c r="C91" s="253" t="s">
        <v>322</v>
      </c>
      <c r="D91" s="253" t="s">
        <v>351</v>
      </c>
      <c r="E91" s="253" t="s">
        <v>445</v>
      </c>
      <c r="F91" s="249" t="s">
        <v>391</v>
      </c>
      <c r="G91" s="249" t="s">
        <v>457</v>
      </c>
      <c r="H91" s="359">
        <v>2079072.22</v>
      </c>
      <c r="I91" s="359">
        <v>0</v>
      </c>
      <c r="J91" s="359">
        <v>0</v>
      </c>
    </row>
    <row r="92" spans="1:10" ht="16.5">
      <c r="A92" s="281" t="s">
        <v>403</v>
      </c>
      <c r="B92" s="171" t="s">
        <v>0</v>
      </c>
      <c r="C92" s="250" t="s">
        <v>322</v>
      </c>
      <c r="D92" s="250" t="s">
        <v>367</v>
      </c>
      <c r="E92" s="250"/>
      <c r="F92" s="251"/>
      <c r="G92" s="251"/>
      <c r="H92" s="360">
        <f>H93</f>
        <v>45390577.24</v>
      </c>
      <c r="I92" s="360">
        <f aca="true" t="shared" si="7" ref="I92:J95">I93</f>
        <v>24170239.19</v>
      </c>
      <c r="J92" s="360">
        <f t="shared" si="7"/>
        <v>25905726.52</v>
      </c>
    </row>
    <row r="93" spans="1:10" ht="33.75">
      <c r="A93" s="281" t="s">
        <v>233</v>
      </c>
      <c r="B93" s="171" t="s">
        <v>0</v>
      </c>
      <c r="C93" s="250" t="s">
        <v>322</v>
      </c>
      <c r="D93" s="250" t="s">
        <v>367</v>
      </c>
      <c r="E93" s="250" t="s">
        <v>234</v>
      </c>
      <c r="F93" s="251"/>
      <c r="G93" s="251"/>
      <c r="H93" s="360">
        <f>H94</f>
        <v>45390577.24</v>
      </c>
      <c r="I93" s="360">
        <f t="shared" si="7"/>
        <v>24170239.19</v>
      </c>
      <c r="J93" s="360">
        <f t="shared" si="7"/>
        <v>25905726.52</v>
      </c>
    </row>
    <row r="94" spans="1:10" ht="16.5">
      <c r="A94" s="280" t="s">
        <v>239</v>
      </c>
      <c r="B94" s="172" t="s">
        <v>0</v>
      </c>
      <c r="C94" s="253" t="s">
        <v>322</v>
      </c>
      <c r="D94" s="253" t="s">
        <v>367</v>
      </c>
      <c r="E94" s="253" t="s">
        <v>240</v>
      </c>
      <c r="F94" s="249"/>
      <c r="G94" s="249"/>
      <c r="H94" s="359">
        <f>H95</f>
        <v>45390577.24</v>
      </c>
      <c r="I94" s="359">
        <f t="shared" si="7"/>
        <v>24170239.19</v>
      </c>
      <c r="J94" s="359">
        <f t="shared" si="7"/>
        <v>25905726.52</v>
      </c>
    </row>
    <row r="95" spans="1:10" ht="67.5">
      <c r="A95" s="280" t="s">
        <v>692</v>
      </c>
      <c r="B95" s="172" t="s">
        <v>0</v>
      </c>
      <c r="C95" s="253" t="s">
        <v>322</v>
      </c>
      <c r="D95" s="253" t="s">
        <v>367</v>
      </c>
      <c r="E95" s="253" t="s">
        <v>691</v>
      </c>
      <c r="F95" s="249"/>
      <c r="G95" s="249"/>
      <c r="H95" s="359">
        <f>H96</f>
        <v>45390577.24</v>
      </c>
      <c r="I95" s="359">
        <f t="shared" si="7"/>
        <v>24170239.19</v>
      </c>
      <c r="J95" s="359">
        <f t="shared" si="7"/>
        <v>25905726.52</v>
      </c>
    </row>
    <row r="96" spans="1:10" ht="33.75">
      <c r="A96" s="273" t="s">
        <v>195</v>
      </c>
      <c r="B96" s="172" t="s">
        <v>0</v>
      </c>
      <c r="C96" s="253" t="s">
        <v>322</v>
      </c>
      <c r="D96" s="253" t="s">
        <v>367</v>
      </c>
      <c r="E96" s="253" t="s">
        <v>691</v>
      </c>
      <c r="F96" s="249" t="s">
        <v>252</v>
      </c>
      <c r="G96" s="249" t="s">
        <v>457</v>
      </c>
      <c r="H96" s="359">
        <v>45390577.24</v>
      </c>
      <c r="I96" s="358">
        <v>24170239.19</v>
      </c>
      <c r="J96" s="358">
        <v>25905726.52</v>
      </c>
    </row>
    <row r="97" spans="1:10" ht="16.5">
      <c r="A97" s="283" t="s">
        <v>361</v>
      </c>
      <c r="B97" s="171" t="s">
        <v>0</v>
      </c>
      <c r="C97" s="250" t="s">
        <v>362</v>
      </c>
      <c r="D97" s="250"/>
      <c r="E97" s="250"/>
      <c r="F97" s="251"/>
      <c r="G97" s="251"/>
      <c r="H97" s="252">
        <f>H98+H111+H144+H156+H168</f>
        <v>1266295598</v>
      </c>
      <c r="I97" s="252">
        <f>I98+I111+I144+I156+I168</f>
        <v>1194321490</v>
      </c>
      <c r="J97" s="252">
        <f>J98+J111+J144+J156+J168</f>
        <v>1210765390</v>
      </c>
    </row>
    <row r="98" spans="1:10" ht="16.5">
      <c r="A98" s="283" t="s">
        <v>363</v>
      </c>
      <c r="B98" s="171" t="s">
        <v>0</v>
      </c>
      <c r="C98" s="250" t="s">
        <v>362</v>
      </c>
      <c r="D98" s="250" t="s">
        <v>308</v>
      </c>
      <c r="E98" s="250"/>
      <c r="F98" s="250"/>
      <c r="G98" s="250"/>
      <c r="H98" s="252">
        <f>H99</f>
        <v>436668580.00000006</v>
      </c>
      <c r="I98" s="252">
        <f>I99</f>
        <v>400817730</v>
      </c>
      <c r="J98" s="252">
        <f>J99</f>
        <v>400817730</v>
      </c>
    </row>
    <row r="99" spans="1:10" ht="16.5">
      <c r="A99" s="272" t="s">
        <v>190</v>
      </c>
      <c r="B99" s="171" t="s">
        <v>0</v>
      </c>
      <c r="C99" s="250" t="s">
        <v>362</v>
      </c>
      <c r="D99" s="250" t="s">
        <v>308</v>
      </c>
      <c r="E99" s="250" t="s">
        <v>191</v>
      </c>
      <c r="F99" s="250"/>
      <c r="G99" s="250"/>
      <c r="H99" s="252">
        <f>H100+H108</f>
        <v>436668580.00000006</v>
      </c>
      <c r="I99" s="252">
        <f>I100+I108</f>
        <v>400817730</v>
      </c>
      <c r="J99" s="252">
        <f>J100+J108</f>
        <v>400817730</v>
      </c>
    </row>
    <row r="100" spans="1:10" ht="16.5">
      <c r="A100" s="284" t="s">
        <v>198</v>
      </c>
      <c r="B100" s="178" t="s">
        <v>0</v>
      </c>
      <c r="C100" s="255" t="s">
        <v>362</v>
      </c>
      <c r="D100" s="255" t="s">
        <v>308</v>
      </c>
      <c r="E100" s="250" t="s">
        <v>199</v>
      </c>
      <c r="F100" s="250"/>
      <c r="G100" s="250"/>
      <c r="H100" s="336">
        <f>H101</f>
        <v>435833380.00000006</v>
      </c>
      <c r="I100" s="336">
        <f>I101</f>
        <v>399982530</v>
      </c>
      <c r="J100" s="336">
        <f>J101</f>
        <v>399982530</v>
      </c>
    </row>
    <row r="101" spans="1:10" ht="16.5">
      <c r="A101" s="339" t="s">
        <v>200</v>
      </c>
      <c r="B101" s="179" t="s">
        <v>0</v>
      </c>
      <c r="C101" s="256" t="s">
        <v>362</v>
      </c>
      <c r="D101" s="256" t="s">
        <v>308</v>
      </c>
      <c r="E101" s="253" t="s">
        <v>201</v>
      </c>
      <c r="F101" s="253"/>
      <c r="G101" s="253"/>
      <c r="H101" s="257">
        <f>H102+H104</f>
        <v>435833380.00000006</v>
      </c>
      <c r="I101" s="257">
        <f>I102+I104</f>
        <v>399982530</v>
      </c>
      <c r="J101" s="257">
        <f>J102+J104</f>
        <v>399982530</v>
      </c>
    </row>
    <row r="102" spans="1:10" ht="33.75">
      <c r="A102" s="285" t="s">
        <v>337</v>
      </c>
      <c r="B102" s="179" t="s">
        <v>0</v>
      </c>
      <c r="C102" s="256" t="s">
        <v>362</v>
      </c>
      <c r="D102" s="256" t="s">
        <v>308</v>
      </c>
      <c r="E102" s="253" t="s">
        <v>475</v>
      </c>
      <c r="F102" s="253"/>
      <c r="G102" s="253"/>
      <c r="H102" s="257">
        <f>H103</f>
        <v>11371150</v>
      </c>
      <c r="I102" s="257">
        <f>I103</f>
        <v>0</v>
      </c>
      <c r="J102" s="257">
        <f>J103</f>
        <v>0</v>
      </c>
    </row>
    <row r="103" spans="1:10" ht="67.5">
      <c r="A103" s="273" t="s">
        <v>194</v>
      </c>
      <c r="B103" s="179" t="s">
        <v>0</v>
      </c>
      <c r="C103" s="256" t="s">
        <v>362</v>
      </c>
      <c r="D103" s="256" t="s">
        <v>308</v>
      </c>
      <c r="E103" s="253" t="s">
        <v>475</v>
      </c>
      <c r="F103" s="253" t="s">
        <v>229</v>
      </c>
      <c r="G103" s="253" t="s">
        <v>457</v>
      </c>
      <c r="H103" s="257">
        <v>11371150</v>
      </c>
      <c r="I103" s="257">
        <v>0</v>
      </c>
      <c r="J103" s="257">
        <v>0</v>
      </c>
    </row>
    <row r="104" spans="1:10" ht="51">
      <c r="A104" s="286" t="s">
        <v>476</v>
      </c>
      <c r="B104" s="172" t="s">
        <v>0</v>
      </c>
      <c r="C104" s="253" t="s">
        <v>362</v>
      </c>
      <c r="D104" s="253" t="s">
        <v>308</v>
      </c>
      <c r="E104" s="253" t="s">
        <v>477</v>
      </c>
      <c r="F104" s="253"/>
      <c r="G104" s="253"/>
      <c r="H104" s="359">
        <f>SUM(H105:H107)</f>
        <v>424462230.00000006</v>
      </c>
      <c r="I104" s="359">
        <f>SUM(I105:I107)</f>
        <v>399982530</v>
      </c>
      <c r="J104" s="359">
        <f>SUM(J105:J107)</f>
        <v>399982530</v>
      </c>
    </row>
    <row r="105" spans="1:10" ht="67.5">
      <c r="A105" s="273" t="s">
        <v>194</v>
      </c>
      <c r="B105" s="172" t="s">
        <v>0</v>
      </c>
      <c r="C105" s="253" t="s">
        <v>362</v>
      </c>
      <c r="D105" s="253" t="s">
        <v>308</v>
      </c>
      <c r="E105" s="253" t="s">
        <v>477</v>
      </c>
      <c r="F105" s="253" t="s">
        <v>229</v>
      </c>
      <c r="G105" s="249" t="s">
        <v>457</v>
      </c>
      <c r="H105" s="359">
        <f>393334709.18+12923740-690695.28+11555960-2147.13-57949.88-158732.28</f>
        <v>416904884.6100001</v>
      </c>
      <c r="I105" s="359">
        <v>393694796</v>
      </c>
      <c r="J105" s="359">
        <v>393694796</v>
      </c>
    </row>
    <row r="106" spans="1:10" ht="33.75">
      <c r="A106" s="273" t="s">
        <v>195</v>
      </c>
      <c r="B106" s="172" t="s">
        <v>0</v>
      </c>
      <c r="C106" s="253" t="s">
        <v>362</v>
      </c>
      <c r="D106" s="253" t="s">
        <v>308</v>
      </c>
      <c r="E106" s="253" t="s">
        <v>477</v>
      </c>
      <c r="F106" s="253" t="s">
        <v>252</v>
      </c>
      <c r="G106" s="249" t="s">
        <v>457</v>
      </c>
      <c r="H106" s="359">
        <v>6287734</v>
      </c>
      <c r="I106" s="359">
        <v>6287734</v>
      </c>
      <c r="J106" s="359">
        <v>6287734</v>
      </c>
    </row>
    <row r="107" spans="1:10" ht="16.5">
      <c r="A107" s="273" t="s">
        <v>196</v>
      </c>
      <c r="B107" s="172" t="s">
        <v>0</v>
      </c>
      <c r="C107" s="253" t="s">
        <v>362</v>
      </c>
      <c r="D107" s="253" t="s">
        <v>308</v>
      </c>
      <c r="E107" s="253" t="s">
        <v>477</v>
      </c>
      <c r="F107" s="253" t="s">
        <v>257</v>
      </c>
      <c r="G107" s="249" t="s">
        <v>457</v>
      </c>
      <c r="H107" s="359">
        <f>360086.82+690695.28+2147.13+57949.88+158732.28</f>
        <v>1269611.39</v>
      </c>
      <c r="I107" s="359">
        <v>0</v>
      </c>
      <c r="J107" s="359">
        <v>0</v>
      </c>
    </row>
    <row r="108" spans="1:10" ht="16.5">
      <c r="A108" s="287" t="s">
        <v>478</v>
      </c>
      <c r="B108" s="171" t="s">
        <v>0</v>
      </c>
      <c r="C108" s="250" t="s">
        <v>362</v>
      </c>
      <c r="D108" s="250" t="s">
        <v>308</v>
      </c>
      <c r="E108" s="250" t="s">
        <v>446</v>
      </c>
      <c r="F108" s="251"/>
      <c r="G108" s="251"/>
      <c r="H108" s="360">
        <f aca="true" t="shared" si="8" ref="H108:J109">H109</f>
        <v>835200</v>
      </c>
      <c r="I108" s="360">
        <f t="shared" si="8"/>
        <v>835200</v>
      </c>
      <c r="J108" s="360">
        <f t="shared" si="8"/>
        <v>835200</v>
      </c>
    </row>
    <row r="109" spans="1:10" ht="67.5">
      <c r="A109" s="286" t="s">
        <v>479</v>
      </c>
      <c r="B109" s="172" t="s">
        <v>0</v>
      </c>
      <c r="C109" s="253" t="s">
        <v>362</v>
      </c>
      <c r="D109" s="253" t="s">
        <v>308</v>
      </c>
      <c r="E109" s="253" t="s">
        <v>447</v>
      </c>
      <c r="F109" s="249"/>
      <c r="G109" s="249"/>
      <c r="H109" s="359">
        <f t="shared" si="8"/>
        <v>835200</v>
      </c>
      <c r="I109" s="359">
        <f t="shared" si="8"/>
        <v>835200</v>
      </c>
      <c r="J109" s="359">
        <f t="shared" si="8"/>
        <v>835200</v>
      </c>
    </row>
    <row r="110" spans="1:10" ht="67.5">
      <c r="A110" s="273" t="s">
        <v>194</v>
      </c>
      <c r="B110" s="172" t="s">
        <v>0</v>
      </c>
      <c r="C110" s="253" t="s">
        <v>362</v>
      </c>
      <c r="D110" s="253" t="s">
        <v>308</v>
      </c>
      <c r="E110" s="253" t="s">
        <v>447</v>
      </c>
      <c r="F110" s="249" t="s">
        <v>229</v>
      </c>
      <c r="G110" s="249" t="s">
        <v>457</v>
      </c>
      <c r="H110" s="359">
        <v>835200</v>
      </c>
      <c r="I110" s="359">
        <v>835200</v>
      </c>
      <c r="J110" s="18">
        <v>835200</v>
      </c>
    </row>
    <row r="111" spans="1:10" ht="16.5">
      <c r="A111" s="288" t="s">
        <v>364</v>
      </c>
      <c r="B111" s="171" t="s">
        <v>0</v>
      </c>
      <c r="C111" s="250" t="s">
        <v>362</v>
      </c>
      <c r="D111" s="250" t="s">
        <v>310</v>
      </c>
      <c r="E111" s="250"/>
      <c r="F111" s="251"/>
      <c r="G111" s="251"/>
      <c r="H111" s="252">
        <f>H112+H140</f>
        <v>815032028</v>
      </c>
      <c r="I111" s="252">
        <f>I112+I140</f>
        <v>793158160</v>
      </c>
      <c r="J111" s="252">
        <f>J112+J140</f>
        <v>809602060</v>
      </c>
    </row>
    <row r="112" spans="1:10" ht="16.5">
      <c r="A112" s="272" t="s">
        <v>190</v>
      </c>
      <c r="B112" s="171" t="s">
        <v>0</v>
      </c>
      <c r="C112" s="250" t="s">
        <v>362</v>
      </c>
      <c r="D112" s="250" t="s">
        <v>310</v>
      </c>
      <c r="E112" s="250" t="s">
        <v>191</v>
      </c>
      <c r="F112" s="251"/>
      <c r="G112" s="251"/>
      <c r="H112" s="252">
        <f>H113+H136</f>
        <v>815032028</v>
      </c>
      <c r="I112" s="252">
        <f>I113+I136</f>
        <v>793158160</v>
      </c>
      <c r="J112" s="252">
        <f>J113+J136</f>
        <v>809602060</v>
      </c>
    </row>
    <row r="113" spans="1:10" ht="16.5">
      <c r="A113" s="284" t="s">
        <v>198</v>
      </c>
      <c r="B113" s="171" t="s">
        <v>0</v>
      </c>
      <c r="C113" s="250" t="s">
        <v>362</v>
      </c>
      <c r="D113" s="250" t="s">
        <v>310</v>
      </c>
      <c r="E113" s="250" t="s">
        <v>199</v>
      </c>
      <c r="F113" s="251"/>
      <c r="G113" s="251"/>
      <c r="H113" s="252">
        <f>H114+H117</f>
        <v>812915228</v>
      </c>
      <c r="I113" s="252">
        <f>I114+I117</f>
        <v>791041360</v>
      </c>
      <c r="J113" s="252">
        <f>J114+J117</f>
        <v>807485260</v>
      </c>
    </row>
    <row r="114" spans="1:10" ht="118.5">
      <c r="A114" s="289" t="s">
        <v>480</v>
      </c>
      <c r="B114" s="172" t="s">
        <v>0</v>
      </c>
      <c r="C114" s="253" t="s">
        <v>362</v>
      </c>
      <c r="D114" s="253" t="s">
        <v>310</v>
      </c>
      <c r="E114" s="253" t="s">
        <v>481</v>
      </c>
      <c r="F114" s="249"/>
      <c r="G114" s="249"/>
      <c r="H114" s="175">
        <f>SUM(H115:H116)</f>
        <v>47778190</v>
      </c>
      <c r="I114" s="175">
        <f>SUM(I115:I116)</f>
        <v>47778190</v>
      </c>
      <c r="J114" s="175">
        <f>SUM(J115:J116)</f>
        <v>47778190</v>
      </c>
    </row>
    <row r="115" spans="1:10" ht="67.5">
      <c r="A115" s="273" t="s">
        <v>194</v>
      </c>
      <c r="B115" s="172" t="s">
        <v>0</v>
      </c>
      <c r="C115" s="253" t="s">
        <v>362</v>
      </c>
      <c r="D115" s="253" t="s">
        <v>310</v>
      </c>
      <c r="E115" s="253" t="s">
        <v>481</v>
      </c>
      <c r="F115" s="249" t="s">
        <v>229</v>
      </c>
      <c r="G115" s="249" t="s">
        <v>457</v>
      </c>
      <c r="H115" s="175">
        <v>14816233.14</v>
      </c>
      <c r="I115" s="175">
        <v>14816233.14</v>
      </c>
      <c r="J115" s="175">
        <v>14816233.14</v>
      </c>
    </row>
    <row r="116" spans="1:17" s="268" customFormat="1" ht="33.75">
      <c r="A116" s="286" t="s">
        <v>204</v>
      </c>
      <c r="B116" s="172" t="s">
        <v>0</v>
      </c>
      <c r="C116" s="253" t="s">
        <v>362</v>
      </c>
      <c r="D116" s="253" t="s">
        <v>310</v>
      </c>
      <c r="E116" s="253" t="s">
        <v>481</v>
      </c>
      <c r="F116" s="249" t="s">
        <v>338</v>
      </c>
      <c r="G116" s="249" t="s">
        <v>457</v>
      </c>
      <c r="H116" s="175">
        <v>32961956.86</v>
      </c>
      <c r="I116" s="175">
        <v>32961956.86</v>
      </c>
      <c r="J116" s="175">
        <v>32961956.86</v>
      </c>
      <c r="L116" s="269"/>
      <c r="M116" s="269"/>
      <c r="N116" s="269"/>
      <c r="O116" s="269"/>
      <c r="P116" s="269"/>
      <c r="Q116" s="269"/>
    </row>
    <row r="117" spans="1:17" s="268" customFormat="1" ht="16.5">
      <c r="A117" s="46" t="s">
        <v>202</v>
      </c>
      <c r="B117" s="172" t="s">
        <v>0</v>
      </c>
      <c r="C117" s="107" t="s">
        <v>362</v>
      </c>
      <c r="D117" s="107" t="s">
        <v>310</v>
      </c>
      <c r="E117" s="142" t="s">
        <v>203</v>
      </c>
      <c r="F117" s="249"/>
      <c r="G117" s="249"/>
      <c r="H117" s="175">
        <f>H118+H121+H125+H130+H133</f>
        <v>765137038</v>
      </c>
      <c r="I117" s="175">
        <f>I118+I121+I125+I130+I133</f>
        <v>743263170</v>
      </c>
      <c r="J117" s="175">
        <f>J118+J121+J125+J130+J133</f>
        <v>759707070</v>
      </c>
      <c r="L117" s="269"/>
      <c r="M117" s="269"/>
      <c r="N117" s="269"/>
      <c r="O117" s="269"/>
      <c r="P117" s="269"/>
      <c r="Q117" s="269"/>
    </row>
    <row r="118" spans="1:10" ht="33.75">
      <c r="A118" s="273" t="s">
        <v>337</v>
      </c>
      <c r="B118" s="172" t="s">
        <v>0</v>
      </c>
      <c r="C118" s="253" t="s">
        <v>362</v>
      </c>
      <c r="D118" s="253" t="s">
        <v>310</v>
      </c>
      <c r="E118" s="253" t="s">
        <v>482</v>
      </c>
      <c r="F118" s="249"/>
      <c r="G118" s="249"/>
      <c r="H118" s="175">
        <f>SUM(H119:H120)</f>
        <v>10792520</v>
      </c>
      <c r="I118" s="175">
        <f>SUM(I119:I120)</f>
        <v>0</v>
      </c>
      <c r="J118" s="175">
        <f>SUM(J119:J120)</f>
        <v>0</v>
      </c>
    </row>
    <row r="119" spans="1:10" ht="67.5">
      <c r="A119" s="273" t="s">
        <v>194</v>
      </c>
      <c r="B119" s="172" t="s">
        <v>0</v>
      </c>
      <c r="C119" s="253" t="s">
        <v>362</v>
      </c>
      <c r="D119" s="253" t="s">
        <v>310</v>
      </c>
      <c r="E119" s="253" t="s">
        <v>482</v>
      </c>
      <c r="F119" s="249" t="s">
        <v>229</v>
      </c>
      <c r="G119" s="249" t="s">
        <v>457</v>
      </c>
      <c r="H119" s="175">
        <v>6315080</v>
      </c>
      <c r="I119" s="175">
        <v>0</v>
      </c>
      <c r="J119" s="175">
        <v>0</v>
      </c>
    </row>
    <row r="120" spans="1:17" s="268" customFormat="1" ht="33.75">
      <c r="A120" s="286" t="s">
        <v>204</v>
      </c>
      <c r="B120" s="172" t="s">
        <v>0</v>
      </c>
      <c r="C120" s="253" t="s">
        <v>362</v>
      </c>
      <c r="D120" s="253" t="s">
        <v>310</v>
      </c>
      <c r="E120" s="253" t="s">
        <v>482</v>
      </c>
      <c r="F120" s="249" t="s">
        <v>338</v>
      </c>
      <c r="G120" s="249" t="s">
        <v>457</v>
      </c>
      <c r="H120" s="175">
        <f>4259840+217600</f>
        <v>4477440</v>
      </c>
      <c r="I120" s="175">
        <v>0</v>
      </c>
      <c r="J120" s="175">
        <v>0</v>
      </c>
      <c r="L120" s="246"/>
      <c r="M120" s="269"/>
      <c r="N120" s="269"/>
      <c r="O120" s="269"/>
      <c r="P120" s="269"/>
      <c r="Q120" s="269"/>
    </row>
    <row r="121" spans="1:10" ht="108" customHeight="1">
      <c r="A121" s="280" t="s">
        <v>693</v>
      </c>
      <c r="B121" s="172" t="s">
        <v>0</v>
      </c>
      <c r="C121" s="253" t="s">
        <v>362</v>
      </c>
      <c r="D121" s="253" t="s">
        <v>310</v>
      </c>
      <c r="E121" s="253" t="s">
        <v>483</v>
      </c>
      <c r="F121" s="249"/>
      <c r="G121" s="253"/>
      <c r="H121" s="175">
        <f>H122+H123+H124</f>
        <v>663454331</v>
      </c>
      <c r="I121" s="175">
        <f>I122+I123+I124</f>
        <v>687707210</v>
      </c>
      <c r="J121" s="175">
        <f>J122+J123+J124</f>
        <v>704151110</v>
      </c>
    </row>
    <row r="122" spans="1:10" ht="67.5">
      <c r="A122" s="273" t="s">
        <v>194</v>
      </c>
      <c r="B122" s="172" t="s">
        <v>0</v>
      </c>
      <c r="C122" s="253" t="s">
        <v>362</v>
      </c>
      <c r="D122" s="253" t="s">
        <v>310</v>
      </c>
      <c r="E122" s="253" t="s">
        <v>483</v>
      </c>
      <c r="F122" s="249" t="s">
        <v>229</v>
      </c>
      <c r="G122" s="253" t="s">
        <v>457</v>
      </c>
      <c r="H122" s="175">
        <f>197404350+5239400+3793378</f>
        <v>206437128</v>
      </c>
      <c r="I122" s="18">
        <v>215400530</v>
      </c>
      <c r="J122" s="18">
        <v>220722211</v>
      </c>
    </row>
    <row r="123" spans="1:17" s="268" customFormat="1" ht="33.75">
      <c r="A123" s="273" t="s">
        <v>195</v>
      </c>
      <c r="B123" s="172" t="s">
        <v>0</v>
      </c>
      <c r="C123" s="253" t="s">
        <v>362</v>
      </c>
      <c r="D123" s="253" t="s">
        <v>310</v>
      </c>
      <c r="E123" s="253" t="s">
        <v>483</v>
      </c>
      <c r="F123" s="249" t="s">
        <v>252</v>
      </c>
      <c r="G123" s="253" t="s">
        <v>457</v>
      </c>
      <c r="H123" s="175">
        <v>7159740</v>
      </c>
      <c r="I123" s="175">
        <v>7159740</v>
      </c>
      <c r="J123" s="175">
        <v>7159741</v>
      </c>
      <c r="L123" s="269"/>
      <c r="M123" s="269"/>
      <c r="N123" s="269"/>
      <c r="O123" s="269"/>
      <c r="P123" s="269"/>
      <c r="Q123" s="269"/>
    </row>
    <row r="124" spans="1:10" ht="33.75">
      <c r="A124" s="286" t="s">
        <v>204</v>
      </c>
      <c r="B124" s="172" t="s">
        <v>0</v>
      </c>
      <c r="C124" s="253" t="s">
        <v>362</v>
      </c>
      <c r="D124" s="253" t="s">
        <v>310</v>
      </c>
      <c r="E124" s="253" t="s">
        <v>483</v>
      </c>
      <c r="F124" s="249" t="s">
        <v>338</v>
      </c>
      <c r="G124" s="253" t="s">
        <v>457</v>
      </c>
      <c r="H124" s="175">
        <f>427535250+12698391+9623822</f>
        <v>449857463</v>
      </c>
      <c r="I124" s="18">
        <v>465146940</v>
      </c>
      <c r="J124" s="18">
        <v>476269158</v>
      </c>
    </row>
    <row r="125" spans="1:10" ht="67.5">
      <c r="A125" s="282" t="s">
        <v>694</v>
      </c>
      <c r="B125" s="172" t="s">
        <v>0</v>
      </c>
      <c r="C125" s="253" t="s">
        <v>362</v>
      </c>
      <c r="D125" s="253" t="s">
        <v>310</v>
      </c>
      <c r="E125" s="253" t="s">
        <v>484</v>
      </c>
      <c r="F125" s="249"/>
      <c r="G125" s="253"/>
      <c r="H125" s="175">
        <f>SUM(H126:H129)</f>
        <v>59250365.99999999</v>
      </c>
      <c r="I125" s="175">
        <f>SUM(I126:I129)</f>
        <v>55555960</v>
      </c>
      <c r="J125" s="175">
        <f>SUM(J126:J129)</f>
        <v>55555960</v>
      </c>
    </row>
    <row r="126" spans="1:17" s="268" customFormat="1" ht="67.5">
      <c r="A126" s="273" t="s">
        <v>194</v>
      </c>
      <c r="B126" s="172" t="s">
        <v>0</v>
      </c>
      <c r="C126" s="253" t="s">
        <v>362</v>
      </c>
      <c r="D126" s="253" t="s">
        <v>310</v>
      </c>
      <c r="E126" s="253" t="s">
        <v>484</v>
      </c>
      <c r="F126" s="249" t="s">
        <v>229</v>
      </c>
      <c r="G126" s="253" t="s">
        <v>457</v>
      </c>
      <c r="H126" s="175">
        <f>47028341.79+1228460-25095.95+26866+1550906+915040</f>
        <v>50724517.839999996</v>
      </c>
      <c r="I126" s="18">
        <v>47081415</v>
      </c>
      <c r="J126" s="18">
        <v>47081415</v>
      </c>
      <c r="K126" s="263"/>
      <c r="L126" s="246"/>
      <c r="M126" s="246"/>
      <c r="N126" s="246"/>
      <c r="O126" s="269"/>
      <c r="P126" s="269"/>
      <c r="Q126" s="269"/>
    </row>
    <row r="127" spans="1:10" ht="33.75">
      <c r="A127" s="273" t="s">
        <v>195</v>
      </c>
      <c r="B127" s="172" t="s">
        <v>0</v>
      </c>
      <c r="C127" s="253" t="s">
        <v>362</v>
      </c>
      <c r="D127" s="253" t="s">
        <v>310</v>
      </c>
      <c r="E127" s="253" t="s">
        <v>484</v>
      </c>
      <c r="F127" s="249" t="s">
        <v>252</v>
      </c>
      <c r="G127" s="253" t="s">
        <v>457</v>
      </c>
      <c r="H127" s="175">
        <f>8384545-36480-26866</f>
        <v>8321199</v>
      </c>
      <c r="I127" s="175">
        <v>8384545</v>
      </c>
      <c r="J127" s="175">
        <v>8384545</v>
      </c>
    </row>
    <row r="128" spans="1:10" ht="16.5">
      <c r="A128" s="273" t="s">
        <v>196</v>
      </c>
      <c r="B128" s="172" t="s">
        <v>0</v>
      </c>
      <c r="C128" s="253" t="s">
        <v>362</v>
      </c>
      <c r="D128" s="253" t="s">
        <v>310</v>
      </c>
      <c r="E128" s="253" t="s">
        <v>484</v>
      </c>
      <c r="F128" s="249" t="s">
        <v>257</v>
      </c>
      <c r="G128" s="253" t="s">
        <v>457</v>
      </c>
      <c r="H128" s="175">
        <f>143073.21+25095.95</f>
        <v>168169.16</v>
      </c>
      <c r="I128" s="18">
        <v>90000</v>
      </c>
      <c r="J128" s="18">
        <v>90000</v>
      </c>
    </row>
    <row r="129" spans="1:10" ht="16.5">
      <c r="A129" s="273" t="s">
        <v>197</v>
      </c>
      <c r="B129" s="172" t="s">
        <v>0</v>
      </c>
      <c r="C129" s="253" t="s">
        <v>362</v>
      </c>
      <c r="D129" s="253" t="s">
        <v>310</v>
      </c>
      <c r="E129" s="253" t="s">
        <v>484</v>
      </c>
      <c r="F129" s="249" t="s">
        <v>231</v>
      </c>
      <c r="G129" s="253" t="s">
        <v>457</v>
      </c>
      <c r="H129" s="175">
        <v>36480</v>
      </c>
      <c r="I129" s="175"/>
      <c r="J129" s="18"/>
    </row>
    <row r="130" spans="1:10" ht="118.5">
      <c r="A130" s="273" t="s">
        <v>485</v>
      </c>
      <c r="B130" s="172" t="s">
        <v>0</v>
      </c>
      <c r="C130" s="253" t="s">
        <v>362</v>
      </c>
      <c r="D130" s="253" t="s">
        <v>310</v>
      </c>
      <c r="E130" s="253" t="s">
        <v>486</v>
      </c>
      <c r="F130" s="249"/>
      <c r="G130" s="253"/>
      <c r="H130" s="175">
        <f>SUM(H131:H132)</f>
        <v>6895821</v>
      </c>
      <c r="I130" s="175">
        <f>SUM(I131:I132)</f>
        <v>0</v>
      </c>
      <c r="J130" s="175">
        <f>SUM(J131:J132)</f>
        <v>0</v>
      </c>
    </row>
    <row r="131" spans="1:10" ht="67.5">
      <c r="A131" s="273" t="s">
        <v>194</v>
      </c>
      <c r="B131" s="172" t="s">
        <v>0</v>
      </c>
      <c r="C131" s="253" t="s">
        <v>362</v>
      </c>
      <c r="D131" s="253" t="s">
        <v>310</v>
      </c>
      <c r="E131" s="253" t="s">
        <v>486</v>
      </c>
      <c r="F131" s="249" t="s">
        <v>229</v>
      </c>
      <c r="G131" s="253" t="s">
        <v>457</v>
      </c>
      <c r="H131" s="175">
        <v>2239324.6</v>
      </c>
      <c r="I131" s="175">
        <v>0</v>
      </c>
      <c r="J131" s="18">
        <v>0</v>
      </c>
    </row>
    <row r="132" spans="1:17" s="268" customFormat="1" ht="33.75">
      <c r="A132" s="286" t="s">
        <v>204</v>
      </c>
      <c r="B132" s="172" t="s">
        <v>0</v>
      </c>
      <c r="C132" s="253" t="s">
        <v>362</v>
      </c>
      <c r="D132" s="253" t="s">
        <v>310</v>
      </c>
      <c r="E132" s="253" t="s">
        <v>486</v>
      </c>
      <c r="F132" s="249" t="s">
        <v>338</v>
      </c>
      <c r="G132" s="253" t="s">
        <v>457</v>
      </c>
      <c r="H132" s="175">
        <v>4656496.4</v>
      </c>
      <c r="I132" s="175">
        <v>0</v>
      </c>
      <c r="J132" s="18">
        <v>0</v>
      </c>
      <c r="L132" s="269"/>
      <c r="M132" s="269"/>
      <c r="N132" s="269"/>
      <c r="O132" s="269"/>
      <c r="P132" s="269"/>
      <c r="Q132" s="269"/>
    </row>
    <row r="133" spans="1:10" ht="51">
      <c r="A133" s="273" t="s">
        <v>487</v>
      </c>
      <c r="B133" s="172" t="s">
        <v>0</v>
      </c>
      <c r="C133" s="253" t="s">
        <v>362</v>
      </c>
      <c r="D133" s="253" t="s">
        <v>310</v>
      </c>
      <c r="E133" s="254" t="s">
        <v>488</v>
      </c>
      <c r="F133" s="249"/>
      <c r="G133" s="253"/>
      <c r="H133" s="175">
        <f>SUM(H134:H135)</f>
        <v>24744000</v>
      </c>
      <c r="I133" s="175">
        <f>SUM(I134:I135)</f>
        <v>0</v>
      </c>
      <c r="J133" s="175">
        <f>SUM(J134:J135)</f>
        <v>0</v>
      </c>
    </row>
    <row r="134" spans="1:10" ht="33.75">
      <c r="A134" s="273" t="s">
        <v>195</v>
      </c>
      <c r="B134" s="172" t="s">
        <v>0</v>
      </c>
      <c r="C134" s="253" t="s">
        <v>362</v>
      </c>
      <c r="D134" s="253" t="s">
        <v>310</v>
      </c>
      <c r="E134" s="254" t="s">
        <v>488</v>
      </c>
      <c r="F134" s="249" t="s">
        <v>252</v>
      </c>
      <c r="G134" s="253" t="s">
        <v>457</v>
      </c>
      <c r="H134" s="175">
        <f>2591682.24</f>
        <v>2591682.24</v>
      </c>
      <c r="I134" s="175">
        <v>0</v>
      </c>
      <c r="J134" s="18">
        <v>0</v>
      </c>
    </row>
    <row r="135" spans="1:10" ht="33.75">
      <c r="A135" s="286" t="s">
        <v>204</v>
      </c>
      <c r="B135" s="172" t="s">
        <v>0</v>
      </c>
      <c r="C135" s="253" t="s">
        <v>362</v>
      </c>
      <c r="D135" s="253" t="s">
        <v>310</v>
      </c>
      <c r="E135" s="254" t="s">
        <v>488</v>
      </c>
      <c r="F135" s="249" t="s">
        <v>338</v>
      </c>
      <c r="G135" s="253" t="s">
        <v>457</v>
      </c>
      <c r="H135" s="175">
        <f>22152317.76</f>
        <v>22152317.76</v>
      </c>
      <c r="I135" s="175">
        <v>0</v>
      </c>
      <c r="J135" s="18">
        <v>0</v>
      </c>
    </row>
    <row r="136" spans="1:10" ht="16.5">
      <c r="A136" s="287" t="s">
        <v>478</v>
      </c>
      <c r="B136" s="171" t="s">
        <v>0</v>
      </c>
      <c r="C136" s="250" t="s">
        <v>362</v>
      </c>
      <c r="D136" s="250" t="s">
        <v>310</v>
      </c>
      <c r="E136" s="250" t="s">
        <v>446</v>
      </c>
      <c r="F136" s="251"/>
      <c r="G136" s="253"/>
      <c r="H136" s="252">
        <f>H137</f>
        <v>2116800</v>
      </c>
      <c r="I136" s="252">
        <f>I137</f>
        <v>2116800</v>
      </c>
      <c r="J136" s="252">
        <f>J137</f>
        <v>2116800</v>
      </c>
    </row>
    <row r="137" spans="1:10" ht="67.5">
      <c r="A137" s="286" t="s">
        <v>479</v>
      </c>
      <c r="B137" s="172" t="s">
        <v>0</v>
      </c>
      <c r="C137" s="253" t="s">
        <v>362</v>
      </c>
      <c r="D137" s="253" t="s">
        <v>310</v>
      </c>
      <c r="E137" s="253" t="s">
        <v>447</v>
      </c>
      <c r="F137" s="249"/>
      <c r="G137" s="253"/>
      <c r="H137" s="175">
        <f>SUM(H138:H139)</f>
        <v>2116800</v>
      </c>
      <c r="I137" s="175">
        <f>SUM(I138:I139)</f>
        <v>2116800</v>
      </c>
      <c r="J137" s="175">
        <f>SUM(J138:J139)</f>
        <v>2116800</v>
      </c>
    </row>
    <row r="138" spans="1:10" ht="67.5">
      <c r="A138" s="273" t="s">
        <v>194</v>
      </c>
      <c r="B138" s="172" t="s">
        <v>0</v>
      </c>
      <c r="C138" s="253" t="s">
        <v>362</v>
      </c>
      <c r="D138" s="253" t="s">
        <v>310</v>
      </c>
      <c r="E138" s="253" t="s">
        <v>447</v>
      </c>
      <c r="F138" s="249" t="s">
        <v>229</v>
      </c>
      <c r="G138" s="253" t="s">
        <v>457</v>
      </c>
      <c r="H138" s="175">
        <v>1267200</v>
      </c>
      <c r="I138" s="175">
        <v>1267200</v>
      </c>
      <c r="J138" s="175">
        <v>1267200</v>
      </c>
    </row>
    <row r="139" spans="1:10" ht="33.75">
      <c r="A139" s="286" t="s">
        <v>204</v>
      </c>
      <c r="B139" s="172" t="s">
        <v>0</v>
      </c>
      <c r="C139" s="253" t="s">
        <v>362</v>
      </c>
      <c r="D139" s="253" t="s">
        <v>310</v>
      </c>
      <c r="E139" s="253" t="s">
        <v>447</v>
      </c>
      <c r="F139" s="249" t="s">
        <v>338</v>
      </c>
      <c r="G139" s="253" t="s">
        <v>457</v>
      </c>
      <c r="H139" s="175">
        <v>849600</v>
      </c>
      <c r="I139" s="175">
        <v>849600</v>
      </c>
      <c r="J139" s="175">
        <v>849600</v>
      </c>
    </row>
    <row r="140" spans="1:10" ht="33.75">
      <c r="A140" s="281" t="s">
        <v>267</v>
      </c>
      <c r="B140" s="171" t="s">
        <v>0</v>
      </c>
      <c r="C140" s="250" t="s">
        <v>362</v>
      </c>
      <c r="D140" s="250" t="s">
        <v>310</v>
      </c>
      <c r="E140" s="258" t="s">
        <v>191</v>
      </c>
      <c r="F140" s="251"/>
      <c r="G140" s="250"/>
      <c r="H140" s="252">
        <f>H141</f>
        <v>0</v>
      </c>
      <c r="I140" s="252">
        <f aca="true" t="shared" si="9" ref="I140:J142">I141</f>
        <v>0</v>
      </c>
      <c r="J140" s="252">
        <f t="shared" si="9"/>
        <v>0</v>
      </c>
    </row>
    <row r="141" spans="1:10" ht="16.5">
      <c r="A141" s="281" t="s">
        <v>489</v>
      </c>
      <c r="B141" s="171" t="s">
        <v>0</v>
      </c>
      <c r="C141" s="250" t="s">
        <v>362</v>
      </c>
      <c r="D141" s="250" t="s">
        <v>310</v>
      </c>
      <c r="E141" s="258" t="s">
        <v>490</v>
      </c>
      <c r="F141" s="251"/>
      <c r="G141" s="250"/>
      <c r="H141" s="252">
        <f>H142</f>
        <v>0</v>
      </c>
      <c r="I141" s="252">
        <f t="shared" si="9"/>
        <v>0</v>
      </c>
      <c r="J141" s="252">
        <f t="shared" si="9"/>
        <v>0</v>
      </c>
    </row>
    <row r="142" spans="1:10" ht="84.75">
      <c r="A142" s="273" t="s">
        <v>686</v>
      </c>
      <c r="B142" s="172" t="s">
        <v>0</v>
      </c>
      <c r="C142" s="253" t="s">
        <v>362</v>
      </c>
      <c r="D142" s="253" t="s">
        <v>310</v>
      </c>
      <c r="E142" s="254" t="s">
        <v>685</v>
      </c>
      <c r="F142" s="251"/>
      <c r="G142" s="253"/>
      <c r="H142" s="175">
        <f>H143</f>
        <v>0</v>
      </c>
      <c r="I142" s="175">
        <f t="shared" si="9"/>
        <v>0</v>
      </c>
      <c r="J142" s="175">
        <f t="shared" si="9"/>
        <v>0</v>
      </c>
    </row>
    <row r="143" spans="1:10" ht="33.75">
      <c r="A143" s="273" t="s">
        <v>272</v>
      </c>
      <c r="B143" s="172" t="s">
        <v>0</v>
      </c>
      <c r="C143" s="253" t="s">
        <v>362</v>
      </c>
      <c r="D143" s="253" t="s">
        <v>310</v>
      </c>
      <c r="E143" s="254" t="s">
        <v>685</v>
      </c>
      <c r="F143" s="249" t="s">
        <v>266</v>
      </c>
      <c r="G143" s="253" t="s">
        <v>457</v>
      </c>
      <c r="H143" s="175">
        <f>60000000-60000000</f>
        <v>0</v>
      </c>
      <c r="I143" s="175">
        <v>0</v>
      </c>
      <c r="J143" s="175">
        <v>0</v>
      </c>
    </row>
    <row r="144" spans="1:10" ht="16.5">
      <c r="A144" s="278" t="s">
        <v>365</v>
      </c>
      <c r="B144" s="171" t="s">
        <v>0</v>
      </c>
      <c r="C144" s="250" t="s">
        <v>362</v>
      </c>
      <c r="D144" s="250" t="s">
        <v>318</v>
      </c>
      <c r="E144" s="258"/>
      <c r="F144" s="251"/>
      <c r="G144" s="250"/>
      <c r="H144" s="252">
        <f>H145+H149</f>
        <v>3196640</v>
      </c>
      <c r="I144" s="252">
        <f>I145+I149</f>
        <v>345600</v>
      </c>
      <c r="J144" s="252">
        <f>J145+J149</f>
        <v>345600</v>
      </c>
    </row>
    <row r="145" spans="1:10" ht="16.5">
      <c r="A145" s="278" t="s">
        <v>190</v>
      </c>
      <c r="B145" s="171" t="s">
        <v>0</v>
      </c>
      <c r="C145" s="250" t="s">
        <v>362</v>
      </c>
      <c r="D145" s="250" t="s">
        <v>318</v>
      </c>
      <c r="E145" s="258" t="s">
        <v>191</v>
      </c>
      <c r="F145" s="251"/>
      <c r="G145" s="250"/>
      <c r="H145" s="252">
        <f>H146</f>
        <v>2851040</v>
      </c>
      <c r="I145" s="252">
        <f>I146</f>
        <v>0</v>
      </c>
      <c r="J145" s="252">
        <f>J146</f>
        <v>0</v>
      </c>
    </row>
    <row r="146" spans="1:10" ht="16.5">
      <c r="A146" s="278" t="s">
        <v>205</v>
      </c>
      <c r="B146" s="171" t="s">
        <v>0</v>
      </c>
      <c r="C146" s="250" t="s">
        <v>362</v>
      </c>
      <c r="D146" s="250" t="s">
        <v>318</v>
      </c>
      <c r="E146" s="258" t="s">
        <v>206</v>
      </c>
      <c r="F146" s="251"/>
      <c r="G146" s="250"/>
      <c r="H146" s="252">
        <f aca="true" t="shared" si="10" ref="H146:J147">H147</f>
        <v>2851040</v>
      </c>
      <c r="I146" s="252">
        <f t="shared" si="10"/>
        <v>0</v>
      </c>
      <c r="J146" s="252">
        <f t="shared" si="10"/>
        <v>0</v>
      </c>
    </row>
    <row r="147" spans="1:10" ht="33.75">
      <c r="A147" s="273" t="s">
        <v>337</v>
      </c>
      <c r="B147" s="172" t="s">
        <v>0</v>
      </c>
      <c r="C147" s="253" t="s">
        <v>362</v>
      </c>
      <c r="D147" s="253" t="s">
        <v>318</v>
      </c>
      <c r="E147" s="254" t="s">
        <v>491</v>
      </c>
      <c r="F147" s="249"/>
      <c r="G147" s="249"/>
      <c r="H147" s="175">
        <f t="shared" si="10"/>
        <v>2851040</v>
      </c>
      <c r="I147" s="175">
        <f t="shared" si="10"/>
        <v>0</v>
      </c>
      <c r="J147" s="175">
        <f t="shared" si="10"/>
        <v>0</v>
      </c>
    </row>
    <row r="148" spans="1:10" ht="67.5">
      <c r="A148" s="273" t="s">
        <v>194</v>
      </c>
      <c r="B148" s="172" t="s">
        <v>0</v>
      </c>
      <c r="C148" s="253" t="s">
        <v>362</v>
      </c>
      <c r="D148" s="253" t="s">
        <v>318</v>
      </c>
      <c r="E148" s="254" t="s">
        <v>491</v>
      </c>
      <c r="F148" s="249" t="s">
        <v>229</v>
      </c>
      <c r="G148" s="249" t="s">
        <v>457</v>
      </c>
      <c r="H148" s="175">
        <v>2851040</v>
      </c>
      <c r="I148" s="175"/>
      <c r="J148" s="175"/>
    </row>
    <row r="149" spans="1:10" ht="16.5">
      <c r="A149" s="272" t="s">
        <v>209</v>
      </c>
      <c r="B149" s="171" t="s">
        <v>0</v>
      </c>
      <c r="C149" s="250" t="s">
        <v>362</v>
      </c>
      <c r="D149" s="250" t="s">
        <v>318</v>
      </c>
      <c r="E149" s="258" t="s">
        <v>191</v>
      </c>
      <c r="F149" s="251"/>
      <c r="G149" s="251"/>
      <c r="H149" s="252">
        <f>H150+H153</f>
        <v>345600</v>
      </c>
      <c r="I149" s="252">
        <f>I150+I153</f>
        <v>345600</v>
      </c>
      <c r="J149" s="252">
        <f>J150+J153</f>
        <v>345600</v>
      </c>
    </row>
    <row r="150" spans="1:10" ht="16.5" hidden="1">
      <c r="A150" s="278" t="s">
        <v>205</v>
      </c>
      <c r="B150" s="171" t="s">
        <v>0</v>
      </c>
      <c r="C150" s="250" t="s">
        <v>362</v>
      </c>
      <c r="D150" s="250" t="s">
        <v>318</v>
      </c>
      <c r="E150" s="258" t="s">
        <v>206</v>
      </c>
      <c r="F150" s="251"/>
      <c r="G150" s="251"/>
      <c r="H150" s="175">
        <f>H151</f>
        <v>0</v>
      </c>
      <c r="I150" s="175">
        <f>I151</f>
        <v>0</v>
      </c>
      <c r="J150" s="175">
        <f>J151</f>
        <v>0</v>
      </c>
    </row>
    <row r="151" spans="1:10" ht="33.75" hidden="1">
      <c r="A151" s="273" t="s">
        <v>337</v>
      </c>
      <c r="B151" s="172" t="s">
        <v>0</v>
      </c>
      <c r="C151" s="253" t="s">
        <v>362</v>
      </c>
      <c r="D151" s="253" t="s">
        <v>318</v>
      </c>
      <c r="E151" s="254" t="s">
        <v>491</v>
      </c>
      <c r="F151" s="249"/>
      <c r="G151" s="249"/>
      <c r="H151" s="175">
        <f>H152</f>
        <v>0</v>
      </c>
      <c r="I151" s="175">
        <f>I152</f>
        <v>0</v>
      </c>
      <c r="J151" s="175">
        <f>J152</f>
        <v>0</v>
      </c>
    </row>
    <row r="152" spans="1:10" ht="67.5" hidden="1">
      <c r="A152" s="273" t="s">
        <v>194</v>
      </c>
      <c r="B152" s="172" t="s">
        <v>0</v>
      </c>
      <c r="C152" s="253" t="s">
        <v>362</v>
      </c>
      <c r="D152" s="253" t="s">
        <v>318</v>
      </c>
      <c r="E152" s="254" t="s">
        <v>491</v>
      </c>
      <c r="F152" s="249" t="s">
        <v>229</v>
      </c>
      <c r="G152" s="249" t="s">
        <v>457</v>
      </c>
      <c r="H152" s="175"/>
      <c r="I152" s="175"/>
      <c r="J152" s="175"/>
    </row>
    <row r="153" spans="1:10" ht="16.5">
      <c r="A153" s="287" t="s">
        <v>478</v>
      </c>
      <c r="B153" s="171" t="s">
        <v>0</v>
      </c>
      <c r="C153" s="250" t="s">
        <v>362</v>
      </c>
      <c r="D153" s="250" t="s">
        <v>318</v>
      </c>
      <c r="E153" s="258" t="s">
        <v>446</v>
      </c>
      <c r="F153" s="251"/>
      <c r="G153" s="251"/>
      <c r="H153" s="252">
        <f>H154</f>
        <v>345600</v>
      </c>
      <c r="I153" s="252">
        <f>I154</f>
        <v>345600</v>
      </c>
      <c r="J153" s="252">
        <f>J154</f>
        <v>345600</v>
      </c>
    </row>
    <row r="154" spans="1:10" ht="67.5">
      <c r="A154" s="286" t="s">
        <v>479</v>
      </c>
      <c r="B154" s="172" t="s">
        <v>0</v>
      </c>
      <c r="C154" s="253" t="s">
        <v>362</v>
      </c>
      <c r="D154" s="253" t="s">
        <v>318</v>
      </c>
      <c r="E154" s="254" t="s">
        <v>447</v>
      </c>
      <c r="F154" s="249"/>
      <c r="G154" s="249"/>
      <c r="H154" s="175">
        <f>H155</f>
        <v>345600</v>
      </c>
      <c r="I154" s="175">
        <f>I155</f>
        <v>345600</v>
      </c>
      <c r="J154" s="175">
        <f>J155</f>
        <v>345600</v>
      </c>
    </row>
    <row r="155" spans="1:10" ht="67.5">
      <c r="A155" s="273" t="s">
        <v>194</v>
      </c>
      <c r="B155" s="172" t="s">
        <v>0</v>
      </c>
      <c r="C155" s="253" t="s">
        <v>362</v>
      </c>
      <c r="D155" s="253" t="s">
        <v>318</v>
      </c>
      <c r="E155" s="254" t="s">
        <v>447</v>
      </c>
      <c r="F155" s="249" t="s">
        <v>229</v>
      </c>
      <c r="G155" s="249" t="s">
        <v>457</v>
      </c>
      <c r="H155" s="175">
        <v>345600</v>
      </c>
      <c r="I155" s="175">
        <v>345600</v>
      </c>
      <c r="J155" s="175">
        <v>345600</v>
      </c>
    </row>
    <row r="156" spans="1:10" ht="16.5">
      <c r="A156" s="278" t="s">
        <v>411</v>
      </c>
      <c r="B156" s="171" t="s">
        <v>0</v>
      </c>
      <c r="C156" s="250" t="s">
        <v>362</v>
      </c>
      <c r="D156" s="250" t="s">
        <v>362</v>
      </c>
      <c r="E156" s="258"/>
      <c r="F156" s="251"/>
      <c r="G156" s="251"/>
      <c r="H156" s="252">
        <f aca="true" t="shared" si="11" ref="H156:J157">H157</f>
        <v>5986510</v>
      </c>
      <c r="I156" s="252">
        <f t="shared" si="11"/>
        <v>0</v>
      </c>
      <c r="J156" s="252">
        <f t="shared" si="11"/>
        <v>0</v>
      </c>
    </row>
    <row r="157" spans="1:10" ht="16.5">
      <c r="A157" s="278" t="s">
        <v>414</v>
      </c>
      <c r="B157" s="171" t="s">
        <v>0</v>
      </c>
      <c r="C157" s="250" t="s">
        <v>362</v>
      </c>
      <c r="D157" s="250" t="s">
        <v>362</v>
      </c>
      <c r="E157" s="258" t="s">
        <v>191</v>
      </c>
      <c r="F157" s="251"/>
      <c r="G157" s="251"/>
      <c r="H157" s="252">
        <f t="shared" si="11"/>
        <v>5986510</v>
      </c>
      <c r="I157" s="252">
        <f t="shared" si="11"/>
        <v>0</v>
      </c>
      <c r="J157" s="252">
        <f t="shared" si="11"/>
        <v>0</v>
      </c>
    </row>
    <row r="158" spans="1:10" ht="16.5">
      <c r="A158" s="278" t="s">
        <v>207</v>
      </c>
      <c r="B158" s="171" t="s">
        <v>0</v>
      </c>
      <c r="C158" s="250" t="s">
        <v>362</v>
      </c>
      <c r="D158" s="250" t="s">
        <v>362</v>
      </c>
      <c r="E158" s="258" t="s">
        <v>208</v>
      </c>
      <c r="F158" s="251"/>
      <c r="G158" s="251"/>
      <c r="H158" s="252">
        <f>H161+H166+H159</f>
        <v>5986510</v>
      </c>
      <c r="I158" s="252">
        <f>I161+I166+I159</f>
        <v>0</v>
      </c>
      <c r="J158" s="252">
        <f>J161+J166+J159</f>
        <v>0</v>
      </c>
    </row>
    <row r="159" spans="1:10" ht="16.5">
      <c r="A159" s="290" t="s">
        <v>740</v>
      </c>
      <c r="B159" s="172" t="s">
        <v>0</v>
      </c>
      <c r="C159" s="253" t="s">
        <v>362</v>
      </c>
      <c r="D159" s="253" t="s">
        <v>362</v>
      </c>
      <c r="E159" s="254" t="s">
        <v>739</v>
      </c>
      <c r="F159" s="249"/>
      <c r="G159" s="249"/>
      <c r="H159" s="175">
        <f>H160</f>
        <v>1000000</v>
      </c>
      <c r="I159" s="175"/>
      <c r="J159" s="175"/>
    </row>
    <row r="160" spans="1:10" ht="33.75">
      <c r="A160" s="273" t="s">
        <v>195</v>
      </c>
      <c r="B160" s="172" t="s">
        <v>0</v>
      </c>
      <c r="C160" s="253" t="s">
        <v>362</v>
      </c>
      <c r="D160" s="253" t="s">
        <v>362</v>
      </c>
      <c r="E160" s="254" t="s">
        <v>739</v>
      </c>
      <c r="F160" s="249" t="s">
        <v>252</v>
      </c>
      <c r="G160" s="249" t="s">
        <v>457</v>
      </c>
      <c r="H160" s="175">
        <v>1000000</v>
      </c>
      <c r="I160" s="175">
        <v>0</v>
      </c>
      <c r="J160" s="175">
        <v>0</v>
      </c>
    </row>
    <row r="161" spans="1:10" ht="33.75">
      <c r="A161" s="273" t="s">
        <v>492</v>
      </c>
      <c r="B161" s="172" t="s">
        <v>0</v>
      </c>
      <c r="C161" s="253" t="s">
        <v>362</v>
      </c>
      <c r="D161" s="253" t="s">
        <v>362</v>
      </c>
      <c r="E161" s="254" t="s">
        <v>448</v>
      </c>
      <c r="F161" s="249"/>
      <c r="G161" s="249"/>
      <c r="H161" s="175">
        <f>SUM(H162:H165)</f>
        <v>4986510</v>
      </c>
      <c r="I161" s="175">
        <f>SUM(I162:I165)</f>
        <v>0</v>
      </c>
      <c r="J161" s="175">
        <f>SUM(J162:J165)</f>
        <v>0</v>
      </c>
    </row>
    <row r="162" spans="1:10" ht="67.5">
      <c r="A162" s="273" t="s">
        <v>194</v>
      </c>
      <c r="B162" s="172" t="s">
        <v>0</v>
      </c>
      <c r="C162" s="253" t="s">
        <v>362</v>
      </c>
      <c r="D162" s="253" t="s">
        <v>362</v>
      </c>
      <c r="E162" s="254" t="s">
        <v>448</v>
      </c>
      <c r="F162" s="249" t="s">
        <v>229</v>
      </c>
      <c r="G162" s="249" t="s">
        <v>457</v>
      </c>
      <c r="H162" s="175">
        <v>747977</v>
      </c>
      <c r="I162" s="175">
        <v>0</v>
      </c>
      <c r="J162" s="175">
        <v>0</v>
      </c>
    </row>
    <row r="163" spans="1:10" ht="33.75">
      <c r="A163" s="273" t="s">
        <v>195</v>
      </c>
      <c r="B163" s="172" t="s">
        <v>0</v>
      </c>
      <c r="C163" s="253" t="s">
        <v>362</v>
      </c>
      <c r="D163" s="253" t="s">
        <v>362</v>
      </c>
      <c r="E163" s="254" t="s">
        <v>448</v>
      </c>
      <c r="F163" s="249" t="s">
        <v>252</v>
      </c>
      <c r="G163" s="249" t="s">
        <v>457</v>
      </c>
      <c r="H163" s="175">
        <f>1976476-747977</f>
        <v>1228499</v>
      </c>
      <c r="I163" s="175">
        <v>0</v>
      </c>
      <c r="J163" s="175">
        <v>0</v>
      </c>
    </row>
    <row r="164" spans="1:10" ht="16.5">
      <c r="A164" s="273" t="s">
        <v>196</v>
      </c>
      <c r="B164" s="172" t="s">
        <v>0</v>
      </c>
      <c r="C164" s="253" t="s">
        <v>362</v>
      </c>
      <c r="D164" s="253" t="s">
        <v>362</v>
      </c>
      <c r="E164" s="254" t="s">
        <v>448</v>
      </c>
      <c r="F164" s="249" t="s">
        <v>257</v>
      </c>
      <c r="G164" s="249" t="s">
        <v>457</v>
      </c>
      <c r="H164" s="175">
        <v>1351559</v>
      </c>
      <c r="I164" s="175">
        <v>0</v>
      </c>
      <c r="J164" s="175">
        <v>0</v>
      </c>
    </row>
    <row r="165" spans="1:10" ht="33.75">
      <c r="A165" s="286" t="s">
        <v>204</v>
      </c>
      <c r="B165" s="172" t="s">
        <v>0</v>
      </c>
      <c r="C165" s="253" t="s">
        <v>362</v>
      </c>
      <c r="D165" s="253" t="s">
        <v>362</v>
      </c>
      <c r="E165" s="254" t="s">
        <v>448</v>
      </c>
      <c r="F165" s="249" t="s">
        <v>338</v>
      </c>
      <c r="G165" s="249" t="s">
        <v>457</v>
      </c>
      <c r="H165" s="175">
        <f>1658475</f>
        <v>1658475</v>
      </c>
      <c r="I165" s="175">
        <v>0</v>
      </c>
      <c r="J165" s="175">
        <v>0</v>
      </c>
    </row>
    <row r="166" spans="1:17" s="268" customFormat="1" ht="33.75" hidden="1">
      <c r="A166" s="286" t="s">
        <v>493</v>
      </c>
      <c r="B166" s="172" t="s">
        <v>0</v>
      </c>
      <c r="C166" s="253" t="s">
        <v>362</v>
      </c>
      <c r="D166" s="253" t="s">
        <v>362</v>
      </c>
      <c r="E166" s="254" t="s">
        <v>494</v>
      </c>
      <c r="F166" s="249"/>
      <c r="G166" s="249"/>
      <c r="H166" s="175">
        <f>H167</f>
        <v>0</v>
      </c>
      <c r="I166" s="175">
        <f>I167</f>
        <v>0</v>
      </c>
      <c r="J166" s="175">
        <f>J167</f>
        <v>0</v>
      </c>
      <c r="L166" s="269"/>
      <c r="M166" s="269"/>
      <c r="N166" s="269"/>
      <c r="O166" s="269"/>
      <c r="P166" s="269"/>
      <c r="Q166" s="269"/>
    </row>
    <row r="167" spans="1:10" ht="33.75" hidden="1">
      <c r="A167" s="286" t="s">
        <v>204</v>
      </c>
      <c r="B167" s="172" t="s">
        <v>0</v>
      </c>
      <c r="C167" s="253" t="s">
        <v>362</v>
      </c>
      <c r="D167" s="253" t="s">
        <v>362</v>
      </c>
      <c r="E167" s="254" t="s">
        <v>494</v>
      </c>
      <c r="F167" s="249" t="s">
        <v>338</v>
      </c>
      <c r="G167" s="249" t="s">
        <v>457</v>
      </c>
      <c r="H167" s="175"/>
      <c r="I167" s="175"/>
      <c r="J167" s="175"/>
    </row>
    <row r="168" spans="1:10" ht="16.5">
      <c r="A168" s="287" t="s">
        <v>366</v>
      </c>
      <c r="B168" s="171" t="s">
        <v>0</v>
      </c>
      <c r="C168" s="250" t="s">
        <v>362</v>
      </c>
      <c r="D168" s="250" t="s">
        <v>367</v>
      </c>
      <c r="E168" s="258"/>
      <c r="F168" s="251"/>
      <c r="G168" s="251"/>
      <c r="H168" s="252">
        <f>H169</f>
        <v>5411840</v>
      </c>
      <c r="I168" s="252">
        <f aca="true" t="shared" si="12" ref="I168:J171">I169</f>
        <v>0</v>
      </c>
      <c r="J168" s="252">
        <f t="shared" si="12"/>
        <v>0</v>
      </c>
    </row>
    <row r="169" spans="1:10" ht="16.5">
      <c r="A169" s="278" t="s">
        <v>414</v>
      </c>
      <c r="B169" s="171" t="s">
        <v>0</v>
      </c>
      <c r="C169" s="250" t="s">
        <v>362</v>
      </c>
      <c r="D169" s="250" t="s">
        <v>367</v>
      </c>
      <c r="E169" s="258" t="s">
        <v>191</v>
      </c>
      <c r="F169" s="251"/>
      <c r="G169" s="251"/>
      <c r="H169" s="252">
        <f>H170</f>
        <v>5411840</v>
      </c>
      <c r="I169" s="252">
        <f t="shared" si="12"/>
        <v>0</v>
      </c>
      <c r="J169" s="252">
        <f t="shared" si="12"/>
        <v>0</v>
      </c>
    </row>
    <row r="170" spans="1:10" ht="16.5">
      <c r="A170" s="287" t="s">
        <v>192</v>
      </c>
      <c r="B170" s="171" t="s">
        <v>0</v>
      </c>
      <c r="C170" s="250" t="s">
        <v>362</v>
      </c>
      <c r="D170" s="250" t="s">
        <v>367</v>
      </c>
      <c r="E170" s="258" t="s">
        <v>193</v>
      </c>
      <c r="F170" s="251"/>
      <c r="G170" s="251"/>
      <c r="H170" s="252">
        <f>H171</f>
        <v>5411840</v>
      </c>
      <c r="I170" s="252">
        <f t="shared" si="12"/>
        <v>0</v>
      </c>
      <c r="J170" s="252">
        <f t="shared" si="12"/>
        <v>0</v>
      </c>
    </row>
    <row r="171" spans="1:10" ht="33.75">
      <c r="A171" s="273" t="s">
        <v>337</v>
      </c>
      <c r="B171" s="172" t="s">
        <v>0</v>
      </c>
      <c r="C171" s="253" t="s">
        <v>362</v>
      </c>
      <c r="D171" s="253" t="s">
        <v>367</v>
      </c>
      <c r="E171" s="254" t="s">
        <v>495</v>
      </c>
      <c r="F171" s="249"/>
      <c r="G171" s="249"/>
      <c r="H171" s="175">
        <f>H172</f>
        <v>5411840</v>
      </c>
      <c r="I171" s="175">
        <f t="shared" si="12"/>
        <v>0</v>
      </c>
      <c r="J171" s="175">
        <f t="shared" si="12"/>
        <v>0</v>
      </c>
    </row>
    <row r="172" spans="1:10" ht="67.5">
      <c r="A172" s="273" t="s">
        <v>194</v>
      </c>
      <c r="B172" s="172" t="s">
        <v>0</v>
      </c>
      <c r="C172" s="253" t="s">
        <v>362</v>
      </c>
      <c r="D172" s="253" t="s">
        <v>367</v>
      </c>
      <c r="E172" s="254" t="s">
        <v>495</v>
      </c>
      <c r="F172" s="249" t="s">
        <v>229</v>
      </c>
      <c r="G172" s="249" t="s">
        <v>457</v>
      </c>
      <c r="H172" s="175">
        <v>5411840</v>
      </c>
      <c r="I172" s="175">
        <v>0</v>
      </c>
      <c r="J172" s="175">
        <v>0</v>
      </c>
    </row>
    <row r="173" spans="1:10" ht="16.5">
      <c r="A173" s="278" t="s">
        <v>368</v>
      </c>
      <c r="B173" s="171" t="s">
        <v>0</v>
      </c>
      <c r="C173" s="71" t="s">
        <v>369</v>
      </c>
      <c r="D173" s="71"/>
      <c r="E173" s="35"/>
      <c r="F173" s="251"/>
      <c r="G173" s="251"/>
      <c r="H173" s="252">
        <f>H174+H185</f>
        <v>11059130</v>
      </c>
      <c r="I173" s="252">
        <f>I174+I185</f>
        <v>0</v>
      </c>
      <c r="J173" s="252">
        <f>J174+J185</f>
        <v>0</v>
      </c>
    </row>
    <row r="174" spans="1:17" s="268" customFormat="1" ht="16.5">
      <c r="A174" s="278" t="s">
        <v>370</v>
      </c>
      <c r="B174" s="171" t="s">
        <v>0</v>
      </c>
      <c r="C174" s="71" t="s">
        <v>369</v>
      </c>
      <c r="D174" s="71" t="s">
        <v>308</v>
      </c>
      <c r="E174" s="35"/>
      <c r="F174" s="251"/>
      <c r="G174" s="251"/>
      <c r="H174" s="252">
        <f aca="true" t="shared" si="13" ref="H174:J175">H175</f>
        <v>9278470</v>
      </c>
      <c r="I174" s="252">
        <f t="shared" si="13"/>
        <v>0</v>
      </c>
      <c r="J174" s="252">
        <f t="shared" si="13"/>
        <v>0</v>
      </c>
      <c r="L174" s="269"/>
      <c r="M174" s="269"/>
      <c r="N174" s="269"/>
      <c r="O174" s="269"/>
      <c r="P174" s="269"/>
      <c r="Q174" s="269"/>
    </row>
    <row r="175" spans="1:10" ht="16.5">
      <c r="A175" s="278" t="s">
        <v>209</v>
      </c>
      <c r="B175" s="171" t="s">
        <v>0</v>
      </c>
      <c r="C175" s="71" t="s">
        <v>369</v>
      </c>
      <c r="D175" s="71" t="s">
        <v>308</v>
      </c>
      <c r="E175" s="63" t="s">
        <v>210</v>
      </c>
      <c r="F175" s="251"/>
      <c r="G175" s="251"/>
      <c r="H175" s="252">
        <f t="shared" si="13"/>
        <v>9278470</v>
      </c>
      <c r="I175" s="252">
        <f t="shared" si="13"/>
        <v>0</v>
      </c>
      <c r="J175" s="252">
        <f t="shared" si="13"/>
        <v>0</v>
      </c>
    </row>
    <row r="176" spans="1:10" ht="51">
      <c r="A176" s="272" t="s">
        <v>214</v>
      </c>
      <c r="B176" s="171" t="s">
        <v>0</v>
      </c>
      <c r="C176" s="250" t="s">
        <v>369</v>
      </c>
      <c r="D176" s="250" t="s">
        <v>308</v>
      </c>
      <c r="E176" s="258" t="s">
        <v>215</v>
      </c>
      <c r="F176" s="251"/>
      <c r="G176" s="251"/>
      <c r="H176" s="252">
        <f>H183+H177+H180</f>
        <v>9278470</v>
      </c>
      <c r="I176" s="252">
        <f>I183+I177+I180</f>
        <v>0</v>
      </c>
      <c r="J176" s="252">
        <f>J183+J177+J180</f>
        <v>0</v>
      </c>
    </row>
    <row r="177" spans="1:10" ht="16.5">
      <c r="A177" s="273" t="s">
        <v>216</v>
      </c>
      <c r="B177" s="172" t="s">
        <v>0</v>
      </c>
      <c r="C177" s="253" t="s">
        <v>369</v>
      </c>
      <c r="D177" s="253" t="s">
        <v>308</v>
      </c>
      <c r="E177" s="254" t="s">
        <v>297</v>
      </c>
      <c r="F177" s="249"/>
      <c r="G177" s="249"/>
      <c r="H177" s="175">
        <f aca="true" t="shared" si="14" ref="H177:J178">H178</f>
        <v>8015070</v>
      </c>
      <c r="I177" s="175">
        <f t="shared" si="14"/>
        <v>0</v>
      </c>
      <c r="J177" s="175">
        <f t="shared" si="14"/>
        <v>0</v>
      </c>
    </row>
    <row r="178" spans="1:10" ht="33.75">
      <c r="A178" s="273" t="s">
        <v>337</v>
      </c>
      <c r="B178" s="172" t="s">
        <v>0</v>
      </c>
      <c r="C178" s="253" t="s">
        <v>369</v>
      </c>
      <c r="D178" s="253" t="s">
        <v>308</v>
      </c>
      <c r="E178" s="254" t="s">
        <v>496</v>
      </c>
      <c r="F178" s="249"/>
      <c r="G178" s="249"/>
      <c r="H178" s="175">
        <f t="shared" si="14"/>
        <v>8015070</v>
      </c>
      <c r="I178" s="175">
        <f t="shared" si="14"/>
        <v>0</v>
      </c>
      <c r="J178" s="175">
        <f t="shared" si="14"/>
        <v>0</v>
      </c>
    </row>
    <row r="179" spans="1:10" ht="67.5">
      <c r="A179" s="273" t="s">
        <v>194</v>
      </c>
      <c r="B179" s="172" t="s">
        <v>0</v>
      </c>
      <c r="C179" s="253" t="s">
        <v>369</v>
      </c>
      <c r="D179" s="253" t="s">
        <v>308</v>
      </c>
      <c r="E179" s="254" t="s">
        <v>496</v>
      </c>
      <c r="F179" s="249" t="s">
        <v>229</v>
      </c>
      <c r="G179" s="249" t="s">
        <v>457</v>
      </c>
      <c r="H179" s="175">
        <f>1295240+5128300+1591530</f>
        <v>8015070</v>
      </c>
      <c r="I179" s="175">
        <v>0</v>
      </c>
      <c r="J179" s="175">
        <v>0</v>
      </c>
    </row>
    <row r="180" spans="1:10" ht="16.5">
      <c r="A180" s="273" t="s">
        <v>217</v>
      </c>
      <c r="B180" s="172" t="s">
        <v>0</v>
      </c>
      <c r="C180" s="253" t="s">
        <v>369</v>
      </c>
      <c r="D180" s="253" t="s">
        <v>308</v>
      </c>
      <c r="E180" s="254" t="s">
        <v>497</v>
      </c>
      <c r="F180" s="249"/>
      <c r="G180" s="249"/>
      <c r="H180" s="175">
        <f aca="true" t="shared" si="15" ref="H180:J181">H181</f>
        <v>1263400</v>
      </c>
      <c r="I180" s="175">
        <f t="shared" si="15"/>
        <v>0</v>
      </c>
      <c r="J180" s="175">
        <f t="shared" si="15"/>
        <v>0</v>
      </c>
    </row>
    <row r="181" spans="1:10" ht="33.75">
      <c r="A181" s="273" t="s">
        <v>337</v>
      </c>
      <c r="B181" s="172" t="s">
        <v>0</v>
      </c>
      <c r="C181" s="253" t="s">
        <v>369</v>
      </c>
      <c r="D181" s="253" t="s">
        <v>308</v>
      </c>
      <c r="E181" s="254" t="s">
        <v>497</v>
      </c>
      <c r="F181" s="249"/>
      <c r="G181" s="249"/>
      <c r="H181" s="175">
        <f t="shared" si="15"/>
        <v>1263400</v>
      </c>
      <c r="I181" s="175">
        <f t="shared" si="15"/>
        <v>0</v>
      </c>
      <c r="J181" s="175">
        <f t="shared" si="15"/>
        <v>0</v>
      </c>
    </row>
    <row r="182" spans="1:10" ht="67.5">
      <c r="A182" s="273" t="s">
        <v>194</v>
      </c>
      <c r="B182" s="172" t="s">
        <v>0</v>
      </c>
      <c r="C182" s="253" t="s">
        <v>369</v>
      </c>
      <c r="D182" s="253" t="s">
        <v>308</v>
      </c>
      <c r="E182" s="254" t="s">
        <v>497</v>
      </c>
      <c r="F182" s="249" t="s">
        <v>229</v>
      </c>
      <c r="G182" s="249" t="s">
        <v>457</v>
      </c>
      <c r="H182" s="175">
        <f>435970+827430</f>
        <v>1263400</v>
      </c>
      <c r="I182" s="175">
        <v>0</v>
      </c>
      <c r="J182" s="175">
        <v>0</v>
      </c>
    </row>
    <row r="183" spans="1:10" ht="33.75" hidden="1">
      <c r="A183" s="282" t="s">
        <v>498</v>
      </c>
      <c r="B183" s="172" t="s">
        <v>0</v>
      </c>
      <c r="C183" s="253" t="s">
        <v>369</v>
      </c>
      <c r="D183" s="253" t="s">
        <v>308</v>
      </c>
      <c r="E183" s="254" t="s">
        <v>499</v>
      </c>
      <c r="F183" s="249"/>
      <c r="G183" s="249"/>
      <c r="H183" s="175">
        <f>H184</f>
        <v>0</v>
      </c>
      <c r="I183" s="175">
        <f>I184</f>
        <v>0</v>
      </c>
      <c r="J183" s="175">
        <f>J184</f>
        <v>0</v>
      </c>
    </row>
    <row r="184" spans="1:10" ht="33.75" hidden="1">
      <c r="A184" s="273" t="s">
        <v>195</v>
      </c>
      <c r="B184" s="172" t="s">
        <v>0</v>
      </c>
      <c r="C184" s="253" t="s">
        <v>369</v>
      </c>
      <c r="D184" s="253" t="s">
        <v>308</v>
      </c>
      <c r="E184" s="254" t="s">
        <v>499</v>
      </c>
      <c r="F184" s="249" t="s">
        <v>252</v>
      </c>
      <c r="G184" s="249" t="s">
        <v>457</v>
      </c>
      <c r="H184" s="175"/>
      <c r="I184" s="175"/>
      <c r="J184" s="175"/>
    </row>
    <row r="185" spans="1:10" ht="16.5">
      <c r="A185" s="278" t="s">
        <v>419</v>
      </c>
      <c r="B185" s="172" t="s">
        <v>0</v>
      </c>
      <c r="C185" s="253" t="s">
        <v>369</v>
      </c>
      <c r="D185" s="253" t="s">
        <v>322</v>
      </c>
      <c r="E185" s="254"/>
      <c r="F185" s="249"/>
      <c r="G185" s="249"/>
      <c r="H185" s="175">
        <f>H186</f>
        <v>1780660</v>
      </c>
      <c r="I185" s="175">
        <f aca="true" t="shared" si="16" ref="I185:J188">I186</f>
        <v>0</v>
      </c>
      <c r="J185" s="175">
        <f t="shared" si="16"/>
        <v>0</v>
      </c>
    </row>
    <row r="186" spans="1:10" ht="16.5">
      <c r="A186" s="278" t="s">
        <v>209</v>
      </c>
      <c r="B186" s="172" t="s">
        <v>0</v>
      </c>
      <c r="C186" s="253" t="s">
        <v>369</v>
      </c>
      <c r="D186" s="253" t="s">
        <v>322</v>
      </c>
      <c r="E186" s="254" t="s">
        <v>210</v>
      </c>
      <c r="F186" s="249"/>
      <c r="G186" s="249"/>
      <c r="H186" s="175">
        <f>H187</f>
        <v>1780660</v>
      </c>
      <c r="I186" s="175">
        <f t="shared" si="16"/>
        <v>0</v>
      </c>
      <c r="J186" s="175">
        <f t="shared" si="16"/>
        <v>0</v>
      </c>
    </row>
    <row r="187" spans="1:10" ht="16.5">
      <c r="A187" s="279" t="s">
        <v>192</v>
      </c>
      <c r="B187" s="172" t="s">
        <v>0</v>
      </c>
      <c r="C187" s="253" t="s">
        <v>369</v>
      </c>
      <c r="D187" s="253" t="s">
        <v>322</v>
      </c>
      <c r="E187" s="254" t="s">
        <v>211</v>
      </c>
      <c r="F187" s="249"/>
      <c r="G187" s="249"/>
      <c r="H187" s="175">
        <f>H188</f>
        <v>1780660</v>
      </c>
      <c r="I187" s="175">
        <f t="shared" si="16"/>
        <v>0</v>
      </c>
      <c r="J187" s="175">
        <f t="shared" si="16"/>
        <v>0</v>
      </c>
    </row>
    <row r="188" spans="1:10" ht="16.5">
      <c r="A188" s="273" t="s">
        <v>500</v>
      </c>
      <c r="B188" s="172" t="s">
        <v>0</v>
      </c>
      <c r="C188" s="253" t="s">
        <v>369</v>
      </c>
      <c r="D188" s="253" t="s">
        <v>322</v>
      </c>
      <c r="E188" s="254" t="s">
        <v>501</v>
      </c>
      <c r="F188" s="249"/>
      <c r="G188" s="249"/>
      <c r="H188" s="175">
        <f>H189</f>
        <v>1780660</v>
      </c>
      <c r="I188" s="175">
        <f t="shared" si="16"/>
        <v>0</v>
      </c>
      <c r="J188" s="175">
        <f t="shared" si="16"/>
        <v>0</v>
      </c>
    </row>
    <row r="189" spans="1:10" ht="67.5">
      <c r="A189" s="273" t="s">
        <v>194</v>
      </c>
      <c r="B189" s="172" t="s">
        <v>0</v>
      </c>
      <c r="C189" s="253" t="s">
        <v>369</v>
      </c>
      <c r="D189" s="253" t="s">
        <v>322</v>
      </c>
      <c r="E189" s="254" t="s">
        <v>501</v>
      </c>
      <c r="F189" s="249" t="s">
        <v>229</v>
      </c>
      <c r="G189" s="249" t="s">
        <v>457</v>
      </c>
      <c r="H189" s="175">
        <v>1780660</v>
      </c>
      <c r="I189" s="175">
        <v>0</v>
      </c>
      <c r="J189" s="175">
        <v>0</v>
      </c>
    </row>
    <row r="190" spans="1:10" ht="16.5">
      <c r="A190" s="291" t="s">
        <v>373</v>
      </c>
      <c r="B190" s="171" t="s">
        <v>0</v>
      </c>
      <c r="C190" s="250" t="s">
        <v>345</v>
      </c>
      <c r="D190" s="253"/>
      <c r="E190" s="253"/>
      <c r="F190" s="249"/>
      <c r="G190" s="249"/>
      <c r="H190" s="252">
        <f>H191+H196+H225</f>
        <v>131236582.3</v>
      </c>
      <c r="I190" s="252">
        <f>I191+I196+I225</f>
        <v>44063014.74</v>
      </c>
      <c r="J190" s="252">
        <f>J191+J196+J225</f>
        <v>44063014.74</v>
      </c>
    </row>
    <row r="191" spans="1:10" ht="16.5">
      <c r="A191" s="292" t="s">
        <v>374</v>
      </c>
      <c r="B191" s="171" t="s">
        <v>0</v>
      </c>
      <c r="C191" s="71" t="s">
        <v>345</v>
      </c>
      <c r="D191" s="71" t="s">
        <v>308</v>
      </c>
      <c r="E191" s="71"/>
      <c r="F191" s="170"/>
      <c r="G191" s="170"/>
      <c r="H191" s="252">
        <f aca="true" t="shared" si="17" ref="H191:J194">H192</f>
        <v>2639884.92</v>
      </c>
      <c r="I191" s="252">
        <f t="shared" si="17"/>
        <v>0</v>
      </c>
      <c r="J191" s="252">
        <f t="shared" si="17"/>
        <v>0</v>
      </c>
    </row>
    <row r="192" spans="1:10" ht="16.5">
      <c r="A192" s="292" t="s">
        <v>311</v>
      </c>
      <c r="B192" s="171" t="s">
        <v>0</v>
      </c>
      <c r="C192" s="71" t="s">
        <v>345</v>
      </c>
      <c r="D192" s="71" t="s">
        <v>308</v>
      </c>
      <c r="E192" s="71" t="s">
        <v>312</v>
      </c>
      <c r="F192" s="170"/>
      <c r="G192" s="170"/>
      <c r="H192" s="252">
        <f>H193</f>
        <v>2639884.92</v>
      </c>
      <c r="I192" s="252">
        <f>I193</f>
        <v>0</v>
      </c>
      <c r="J192" s="252">
        <f t="shared" si="17"/>
        <v>0</v>
      </c>
    </row>
    <row r="193" spans="1:10" ht="16.5">
      <c r="A193" s="273" t="s">
        <v>331</v>
      </c>
      <c r="B193" s="172" t="s">
        <v>0</v>
      </c>
      <c r="C193" s="72" t="s">
        <v>345</v>
      </c>
      <c r="D193" s="72" t="s">
        <v>308</v>
      </c>
      <c r="E193" s="72" t="s">
        <v>332</v>
      </c>
      <c r="F193" s="176"/>
      <c r="G193" s="176"/>
      <c r="H193" s="175">
        <f>H194</f>
        <v>2639884.92</v>
      </c>
      <c r="I193" s="175">
        <f>I194</f>
        <v>0</v>
      </c>
      <c r="J193" s="175">
        <f>J194</f>
        <v>0</v>
      </c>
    </row>
    <row r="194" spans="1:10" ht="51">
      <c r="A194" s="155" t="s">
        <v>644</v>
      </c>
      <c r="B194" s="172" t="s">
        <v>0</v>
      </c>
      <c r="C194" s="72" t="s">
        <v>345</v>
      </c>
      <c r="D194" s="72" t="s">
        <v>308</v>
      </c>
      <c r="E194" s="72" t="s">
        <v>645</v>
      </c>
      <c r="F194" s="173"/>
      <c r="G194" s="173"/>
      <c r="H194" s="175">
        <f t="shared" si="17"/>
        <v>2639884.92</v>
      </c>
      <c r="I194" s="175">
        <f t="shared" si="17"/>
        <v>0</v>
      </c>
      <c r="J194" s="175">
        <f t="shared" si="17"/>
        <v>0</v>
      </c>
    </row>
    <row r="195" spans="1:10" ht="16.5">
      <c r="A195" s="280" t="s">
        <v>196</v>
      </c>
      <c r="B195" s="172" t="s">
        <v>0</v>
      </c>
      <c r="C195" s="72" t="s">
        <v>345</v>
      </c>
      <c r="D195" s="72" t="s">
        <v>308</v>
      </c>
      <c r="E195" s="72" t="s">
        <v>645</v>
      </c>
      <c r="F195" s="72" t="s">
        <v>257</v>
      </c>
      <c r="G195" s="249" t="s">
        <v>437</v>
      </c>
      <c r="H195" s="175">
        <v>2639884.92</v>
      </c>
      <c r="I195" s="175">
        <v>0</v>
      </c>
      <c r="J195" s="18">
        <v>0</v>
      </c>
    </row>
    <row r="196" spans="1:10" ht="16.5">
      <c r="A196" s="293" t="s">
        <v>378</v>
      </c>
      <c r="B196" s="171" t="s">
        <v>0</v>
      </c>
      <c r="C196" s="250" t="s">
        <v>345</v>
      </c>
      <c r="D196" s="250" t="s">
        <v>322</v>
      </c>
      <c r="E196" s="250"/>
      <c r="F196" s="251"/>
      <c r="G196" s="251"/>
      <c r="H196" s="252">
        <f>H197+H206+H202</f>
        <v>121650418.08</v>
      </c>
      <c r="I196" s="252">
        <f>I197+I206+I202</f>
        <v>37899200</v>
      </c>
      <c r="J196" s="252">
        <f>J197+J206+J202</f>
        <v>37899200</v>
      </c>
    </row>
    <row r="197" spans="1:10" ht="16.5">
      <c r="A197" s="272" t="s">
        <v>190</v>
      </c>
      <c r="B197" s="171" t="s">
        <v>0</v>
      </c>
      <c r="C197" s="250" t="s">
        <v>345</v>
      </c>
      <c r="D197" s="250" t="s">
        <v>322</v>
      </c>
      <c r="E197" s="250" t="s">
        <v>191</v>
      </c>
      <c r="F197" s="251"/>
      <c r="G197" s="251"/>
      <c r="H197" s="252">
        <f aca="true" t="shared" si="18" ref="H197:J198">H198</f>
        <v>1996269.9999999998</v>
      </c>
      <c r="I197" s="252">
        <f t="shared" si="18"/>
        <v>6258000</v>
      </c>
      <c r="J197" s="252">
        <f t="shared" si="18"/>
        <v>6258000</v>
      </c>
    </row>
    <row r="198" spans="1:10" ht="16.5">
      <c r="A198" s="284" t="s">
        <v>198</v>
      </c>
      <c r="B198" s="171" t="s">
        <v>0</v>
      </c>
      <c r="C198" s="250" t="s">
        <v>345</v>
      </c>
      <c r="D198" s="250" t="s">
        <v>322</v>
      </c>
      <c r="E198" s="250" t="s">
        <v>199</v>
      </c>
      <c r="F198" s="251"/>
      <c r="G198" s="251"/>
      <c r="H198" s="252">
        <f t="shared" si="18"/>
        <v>1996269.9999999998</v>
      </c>
      <c r="I198" s="252">
        <f t="shared" si="18"/>
        <v>6258000</v>
      </c>
      <c r="J198" s="252">
        <f t="shared" si="18"/>
        <v>6258000</v>
      </c>
    </row>
    <row r="199" spans="1:10" ht="67.5">
      <c r="A199" s="294" t="s">
        <v>502</v>
      </c>
      <c r="B199" s="172" t="s">
        <v>0</v>
      </c>
      <c r="C199" s="253" t="s">
        <v>345</v>
      </c>
      <c r="D199" s="253" t="s">
        <v>322</v>
      </c>
      <c r="E199" s="253" t="s">
        <v>503</v>
      </c>
      <c r="F199" s="249"/>
      <c r="G199" s="249"/>
      <c r="H199" s="175">
        <f>SUM(H200:H201)</f>
        <v>1996269.9999999998</v>
      </c>
      <c r="I199" s="175">
        <f>SUM(I200:I201)</f>
        <v>6258000</v>
      </c>
      <c r="J199" s="175">
        <f>SUM(J200:J201)</f>
        <v>6258000</v>
      </c>
    </row>
    <row r="200" spans="1:10" ht="33.75">
      <c r="A200" s="273" t="s">
        <v>195</v>
      </c>
      <c r="B200" s="172" t="s">
        <v>0</v>
      </c>
      <c r="C200" s="253" t="s">
        <v>345</v>
      </c>
      <c r="D200" s="253" t="s">
        <v>322</v>
      </c>
      <c r="E200" s="253" t="s">
        <v>503</v>
      </c>
      <c r="F200" s="249" t="s">
        <v>252</v>
      </c>
      <c r="G200" s="249" t="s">
        <v>457</v>
      </c>
      <c r="H200" s="175">
        <f>187740-63704.89</f>
        <v>124035.11</v>
      </c>
      <c r="I200" s="175">
        <v>187740</v>
      </c>
      <c r="J200" s="175">
        <v>187740</v>
      </c>
    </row>
    <row r="201" spans="1:10" ht="16.5">
      <c r="A201" s="280" t="s">
        <v>196</v>
      </c>
      <c r="B201" s="172" t="s">
        <v>0</v>
      </c>
      <c r="C201" s="253" t="s">
        <v>345</v>
      </c>
      <c r="D201" s="253" t="s">
        <v>322</v>
      </c>
      <c r="E201" s="253" t="s">
        <v>503</v>
      </c>
      <c r="F201" s="249" t="s">
        <v>257</v>
      </c>
      <c r="G201" s="249" t="s">
        <v>457</v>
      </c>
      <c r="H201" s="175">
        <f>6070260-4198025.11</f>
        <v>1872234.8899999997</v>
      </c>
      <c r="I201" s="175">
        <v>6070260</v>
      </c>
      <c r="J201" s="175">
        <v>6070260</v>
      </c>
    </row>
    <row r="202" spans="1:10" ht="33.75">
      <c r="A202" s="281" t="s">
        <v>260</v>
      </c>
      <c r="B202" s="171" t="s">
        <v>0</v>
      </c>
      <c r="C202" s="250" t="s">
        <v>345</v>
      </c>
      <c r="D202" s="250" t="s">
        <v>322</v>
      </c>
      <c r="E202" s="250" t="s">
        <v>261</v>
      </c>
      <c r="F202" s="251"/>
      <c r="G202" s="251"/>
      <c r="H202" s="252">
        <f>H203</f>
        <v>19908480.08</v>
      </c>
      <c r="I202" s="252">
        <f aca="true" t="shared" si="19" ref="I202:J204">I203</f>
        <v>0</v>
      </c>
      <c r="J202" s="252">
        <f t="shared" si="19"/>
        <v>0</v>
      </c>
    </row>
    <row r="203" spans="1:10" ht="16.5">
      <c r="A203" s="281" t="s">
        <v>264</v>
      </c>
      <c r="B203" s="171" t="s">
        <v>0</v>
      </c>
      <c r="C203" s="250" t="s">
        <v>345</v>
      </c>
      <c r="D203" s="250" t="s">
        <v>322</v>
      </c>
      <c r="E203" s="250" t="s">
        <v>265</v>
      </c>
      <c r="F203" s="251"/>
      <c r="G203" s="251"/>
      <c r="H203" s="252">
        <f>H204</f>
        <v>19908480.08</v>
      </c>
      <c r="I203" s="252">
        <f t="shared" si="19"/>
        <v>0</v>
      </c>
      <c r="J203" s="252">
        <f t="shared" si="19"/>
        <v>0</v>
      </c>
    </row>
    <row r="204" spans="1:10" ht="16.5">
      <c r="A204" s="280" t="s">
        <v>504</v>
      </c>
      <c r="B204" s="172" t="s">
        <v>0</v>
      </c>
      <c r="C204" s="253" t="s">
        <v>345</v>
      </c>
      <c r="D204" s="253" t="s">
        <v>322</v>
      </c>
      <c r="E204" s="253" t="s">
        <v>505</v>
      </c>
      <c r="F204" s="249"/>
      <c r="G204" s="249"/>
      <c r="H204" s="175">
        <f>H205</f>
        <v>19908480.08</v>
      </c>
      <c r="I204" s="175">
        <f t="shared" si="19"/>
        <v>0</v>
      </c>
      <c r="J204" s="175">
        <f t="shared" si="19"/>
        <v>0</v>
      </c>
    </row>
    <row r="205" spans="1:10" ht="16.5">
      <c r="A205" s="280" t="s">
        <v>196</v>
      </c>
      <c r="B205" s="172" t="s">
        <v>0</v>
      </c>
      <c r="C205" s="253" t="s">
        <v>345</v>
      </c>
      <c r="D205" s="253" t="s">
        <v>322</v>
      </c>
      <c r="E205" s="253" t="s">
        <v>505</v>
      </c>
      <c r="F205" s="249" t="s">
        <v>257</v>
      </c>
      <c r="G205" s="249" t="s">
        <v>457</v>
      </c>
      <c r="H205" s="175">
        <v>19908480.08</v>
      </c>
      <c r="I205" s="175">
        <v>0</v>
      </c>
      <c r="J205" s="175">
        <v>0</v>
      </c>
    </row>
    <row r="206" spans="1:10" ht="16.5">
      <c r="A206" s="292" t="s">
        <v>311</v>
      </c>
      <c r="B206" s="171" t="s">
        <v>0</v>
      </c>
      <c r="C206" s="250" t="s">
        <v>345</v>
      </c>
      <c r="D206" s="250" t="s">
        <v>322</v>
      </c>
      <c r="E206" s="71" t="s">
        <v>312</v>
      </c>
      <c r="F206" s="251"/>
      <c r="G206" s="251"/>
      <c r="H206" s="252">
        <f>H207</f>
        <v>99745668</v>
      </c>
      <c r="I206" s="252">
        <f>I207</f>
        <v>31641200</v>
      </c>
      <c r="J206" s="252">
        <f>J207</f>
        <v>31641200</v>
      </c>
    </row>
    <row r="207" spans="1:10" ht="16.5">
      <c r="A207" s="272" t="s">
        <v>331</v>
      </c>
      <c r="B207" s="171" t="s">
        <v>0</v>
      </c>
      <c r="C207" s="250" t="s">
        <v>345</v>
      </c>
      <c r="D207" s="250" t="s">
        <v>322</v>
      </c>
      <c r="E207" s="71" t="s">
        <v>332</v>
      </c>
      <c r="F207" s="251"/>
      <c r="G207" s="251"/>
      <c r="H207" s="252">
        <f>H208+H210+H213+H215+H217+H219+H221+H223</f>
        <v>99745668</v>
      </c>
      <c r="I207" s="252">
        <f>I208+I210+I213+I215+I217+I219+I221</f>
        <v>31641200</v>
      </c>
      <c r="J207" s="252">
        <f>J208+J210+J213+J215+J217+J219+J221</f>
        <v>31641200</v>
      </c>
    </row>
    <row r="208" spans="1:10" ht="33.75" hidden="1">
      <c r="A208" s="282" t="s">
        <v>506</v>
      </c>
      <c r="B208" s="172" t="s">
        <v>0</v>
      </c>
      <c r="C208" s="253" t="s">
        <v>345</v>
      </c>
      <c r="D208" s="253" t="s">
        <v>322</v>
      </c>
      <c r="E208" s="72" t="s">
        <v>507</v>
      </c>
      <c r="F208" s="251"/>
      <c r="G208" s="251"/>
      <c r="H208" s="175">
        <f>H209</f>
        <v>0</v>
      </c>
      <c r="I208" s="175">
        <f>I209</f>
        <v>0</v>
      </c>
      <c r="J208" s="175">
        <f>J209</f>
        <v>0</v>
      </c>
    </row>
    <row r="209" spans="1:10" ht="16.5" hidden="1">
      <c r="A209" s="280" t="s">
        <v>196</v>
      </c>
      <c r="B209" s="172" t="s">
        <v>0</v>
      </c>
      <c r="C209" s="253" t="s">
        <v>345</v>
      </c>
      <c r="D209" s="253" t="s">
        <v>322</v>
      </c>
      <c r="E209" s="72" t="s">
        <v>507</v>
      </c>
      <c r="F209" s="249" t="s">
        <v>257</v>
      </c>
      <c r="G209" s="249" t="s">
        <v>457</v>
      </c>
      <c r="H209" s="175"/>
      <c r="I209" s="175"/>
      <c r="J209" s="175"/>
    </row>
    <row r="210" spans="1:10" ht="67.5">
      <c r="A210" s="280" t="s">
        <v>169</v>
      </c>
      <c r="B210" s="172" t="s">
        <v>0</v>
      </c>
      <c r="C210" s="253" t="s">
        <v>345</v>
      </c>
      <c r="D210" s="253" t="s">
        <v>322</v>
      </c>
      <c r="E210" s="253" t="s">
        <v>508</v>
      </c>
      <c r="F210" s="249"/>
      <c r="G210" s="249"/>
      <c r="H210" s="175">
        <f>H212+H211</f>
        <v>55621368</v>
      </c>
      <c r="I210" s="175">
        <f>I212+I211</f>
        <v>0</v>
      </c>
      <c r="J210" s="175">
        <f>J212+J211</f>
        <v>0</v>
      </c>
    </row>
    <row r="211" spans="1:10" ht="16.5">
      <c r="A211" s="280" t="s">
        <v>196</v>
      </c>
      <c r="B211" s="172" t="s">
        <v>0</v>
      </c>
      <c r="C211" s="253" t="s">
        <v>345</v>
      </c>
      <c r="D211" s="253" t="s">
        <v>322</v>
      </c>
      <c r="E211" s="253" t="s">
        <v>508</v>
      </c>
      <c r="F211" s="249" t="s">
        <v>257</v>
      </c>
      <c r="G211" s="249" t="s">
        <v>457</v>
      </c>
      <c r="H211" s="175">
        <v>4635114</v>
      </c>
      <c r="I211" s="175">
        <v>0</v>
      </c>
      <c r="J211" s="175">
        <v>0</v>
      </c>
    </row>
    <row r="212" spans="1:10" ht="33.75">
      <c r="A212" s="273" t="s">
        <v>272</v>
      </c>
      <c r="B212" s="172" t="s">
        <v>0</v>
      </c>
      <c r="C212" s="253" t="s">
        <v>345</v>
      </c>
      <c r="D212" s="253" t="s">
        <v>322</v>
      </c>
      <c r="E212" s="253" t="s">
        <v>508</v>
      </c>
      <c r="F212" s="249" t="s">
        <v>266</v>
      </c>
      <c r="G212" s="249" t="s">
        <v>457</v>
      </c>
      <c r="H212" s="175">
        <f>55621368-4635114</f>
        <v>50986254</v>
      </c>
      <c r="I212" s="175">
        <v>0</v>
      </c>
      <c r="J212" s="175">
        <v>0</v>
      </c>
    </row>
    <row r="213" spans="1:10" ht="51">
      <c r="A213" s="289" t="s">
        <v>449</v>
      </c>
      <c r="B213" s="172" t="s">
        <v>0</v>
      </c>
      <c r="C213" s="253" t="s">
        <v>345</v>
      </c>
      <c r="D213" s="253" t="s">
        <v>322</v>
      </c>
      <c r="E213" s="254" t="s">
        <v>509</v>
      </c>
      <c r="F213" s="249"/>
      <c r="G213" s="249"/>
      <c r="H213" s="175">
        <f>H214</f>
        <v>37539366.68</v>
      </c>
      <c r="I213" s="175">
        <f>I214</f>
        <v>25975300</v>
      </c>
      <c r="J213" s="175">
        <f>J214</f>
        <v>25975300</v>
      </c>
    </row>
    <row r="214" spans="1:10" ht="16.5">
      <c r="A214" s="280" t="s">
        <v>196</v>
      </c>
      <c r="B214" s="172" t="s">
        <v>0</v>
      </c>
      <c r="C214" s="253" t="s">
        <v>345</v>
      </c>
      <c r="D214" s="253" t="s">
        <v>322</v>
      </c>
      <c r="E214" s="254" t="s">
        <v>509</v>
      </c>
      <c r="F214" s="249" t="s">
        <v>257</v>
      </c>
      <c r="G214" s="249" t="s">
        <v>457</v>
      </c>
      <c r="H214" s="175">
        <f>37608400+750000-819033.32</f>
        <v>37539366.68</v>
      </c>
      <c r="I214" s="361">
        <v>25975300</v>
      </c>
      <c r="J214" s="361">
        <v>25975300</v>
      </c>
    </row>
    <row r="215" spans="1:10" ht="33.75">
      <c r="A215" s="289" t="s">
        <v>450</v>
      </c>
      <c r="B215" s="172" t="s">
        <v>0</v>
      </c>
      <c r="C215" s="253" t="s">
        <v>345</v>
      </c>
      <c r="D215" s="253" t="s">
        <v>322</v>
      </c>
      <c r="E215" s="254" t="s">
        <v>510</v>
      </c>
      <c r="F215" s="249"/>
      <c r="G215" s="249"/>
      <c r="H215" s="175">
        <f>H216</f>
        <v>4966445.32</v>
      </c>
      <c r="I215" s="175">
        <f>I216</f>
        <v>3300000</v>
      </c>
      <c r="J215" s="175">
        <f>J216</f>
        <v>3300000</v>
      </c>
    </row>
    <row r="216" spans="1:10" ht="16.5">
      <c r="A216" s="280" t="s">
        <v>196</v>
      </c>
      <c r="B216" s="172" t="s">
        <v>0</v>
      </c>
      <c r="C216" s="253" t="s">
        <v>345</v>
      </c>
      <c r="D216" s="253" t="s">
        <v>322</v>
      </c>
      <c r="E216" s="254" t="s">
        <v>510</v>
      </c>
      <c r="F216" s="249" t="s">
        <v>257</v>
      </c>
      <c r="G216" s="249" t="s">
        <v>457</v>
      </c>
      <c r="H216" s="175">
        <f>3300000+100000+1566445.32</f>
        <v>4966445.32</v>
      </c>
      <c r="I216" s="175">
        <v>3300000</v>
      </c>
      <c r="J216" s="175">
        <v>3300000</v>
      </c>
    </row>
    <row r="217" spans="1:10" ht="51">
      <c r="A217" s="280" t="s">
        <v>451</v>
      </c>
      <c r="B217" s="172" t="s">
        <v>0</v>
      </c>
      <c r="C217" s="253" t="s">
        <v>345</v>
      </c>
      <c r="D217" s="253" t="s">
        <v>322</v>
      </c>
      <c r="E217" s="254" t="s">
        <v>511</v>
      </c>
      <c r="F217" s="249"/>
      <c r="G217" s="249"/>
      <c r="H217" s="175">
        <f>H218</f>
        <v>712638</v>
      </c>
      <c r="I217" s="175">
        <f>I218</f>
        <v>718900</v>
      </c>
      <c r="J217" s="175">
        <f>J218</f>
        <v>718900</v>
      </c>
    </row>
    <row r="218" spans="1:10" ht="16.5">
      <c r="A218" s="280" t="s">
        <v>196</v>
      </c>
      <c r="B218" s="172" t="s">
        <v>0</v>
      </c>
      <c r="C218" s="253" t="s">
        <v>345</v>
      </c>
      <c r="D218" s="253" t="s">
        <v>322</v>
      </c>
      <c r="E218" s="254" t="s">
        <v>511</v>
      </c>
      <c r="F218" s="249" t="s">
        <v>257</v>
      </c>
      <c r="G218" s="249" t="s">
        <v>457</v>
      </c>
      <c r="H218" s="175">
        <f>718900-6262</f>
        <v>712638</v>
      </c>
      <c r="I218" s="175">
        <v>718900</v>
      </c>
      <c r="J218" s="175">
        <v>718900</v>
      </c>
    </row>
    <row r="219" spans="1:10" ht="67.5">
      <c r="A219" s="289" t="s">
        <v>512</v>
      </c>
      <c r="B219" s="172" t="s">
        <v>0</v>
      </c>
      <c r="C219" s="253" t="s">
        <v>345</v>
      </c>
      <c r="D219" s="253" t="s">
        <v>322</v>
      </c>
      <c r="E219" s="254" t="s">
        <v>513</v>
      </c>
      <c r="F219" s="249"/>
      <c r="G219" s="249"/>
      <c r="H219" s="175">
        <f>H220</f>
        <v>0</v>
      </c>
      <c r="I219" s="175">
        <f>I220</f>
        <v>768600</v>
      </c>
      <c r="J219" s="175">
        <f>J220</f>
        <v>768600</v>
      </c>
    </row>
    <row r="220" spans="1:10" ht="16.5">
      <c r="A220" s="280" t="s">
        <v>196</v>
      </c>
      <c r="B220" s="172" t="s">
        <v>0</v>
      </c>
      <c r="C220" s="253" t="s">
        <v>345</v>
      </c>
      <c r="D220" s="253" t="s">
        <v>322</v>
      </c>
      <c r="E220" s="254" t="s">
        <v>513</v>
      </c>
      <c r="F220" s="249" t="s">
        <v>257</v>
      </c>
      <c r="G220" s="249" t="s">
        <v>457</v>
      </c>
      <c r="H220" s="175">
        <f>768600-16470-752130</f>
        <v>0</v>
      </c>
      <c r="I220" s="175">
        <v>768600</v>
      </c>
      <c r="J220" s="175">
        <v>768600</v>
      </c>
    </row>
    <row r="221" spans="1:10" ht="51">
      <c r="A221" s="280" t="s">
        <v>514</v>
      </c>
      <c r="B221" s="172" t="s">
        <v>0</v>
      </c>
      <c r="C221" s="253" t="s">
        <v>345</v>
      </c>
      <c r="D221" s="253" t="s">
        <v>322</v>
      </c>
      <c r="E221" s="254" t="s">
        <v>515</v>
      </c>
      <c r="F221" s="249"/>
      <c r="G221" s="249"/>
      <c r="H221" s="175">
        <f>H222</f>
        <v>905850</v>
      </c>
      <c r="I221" s="175">
        <f>I222</f>
        <v>878400</v>
      </c>
      <c r="J221" s="175">
        <f>J222</f>
        <v>878400</v>
      </c>
    </row>
    <row r="222" spans="1:10" ht="16.5">
      <c r="A222" s="280" t="s">
        <v>196</v>
      </c>
      <c r="B222" s="172" t="s">
        <v>0</v>
      </c>
      <c r="C222" s="253" t="s">
        <v>345</v>
      </c>
      <c r="D222" s="253" t="s">
        <v>322</v>
      </c>
      <c r="E222" s="254" t="s">
        <v>515</v>
      </c>
      <c r="F222" s="249" t="s">
        <v>257</v>
      </c>
      <c r="G222" s="249" t="s">
        <v>457</v>
      </c>
      <c r="H222" s="175">
        <f>878400+16470+10980</f>
        <v>905850</v>
      </c>
      <c r="I222" s="175">
        <v>878400</v>
      </c>
      <c r="J222" s="175">
        <v>878400</v>
      </c>
    </row>
    <row r="223" spans="1:10" ht="51" hidden="1">
      <c r="A223" s="280" t="s">
        <v>516</v>
      </c>
      <c r="B223" s="172" t="s">
        <v>0</v>
      </c>
      <c r="C223" s="253" t="s">
        <v>345</v>
      </c>
      <c r="D223" s="253" t="s">
        <v>322</v>
      </c>
      <c r="E223" s="254" t="s">
        <v>517</v>
      </c>
      <c r="F223" s="249"/>
      <c r="G223" s="249"/>
      <c r="H223" s="175">
        <f>H224</f>
        <v>0</v>
      </c>
      <c r="I223" s="175">
        <f>I224</f>
        <v>0</v>
      </c>
      <c r="J223" s="175">
        <f>J224</f>
        <v>0</v>
      </c>
    </row>
    <row r="224" spans="1:10" ht="33.75" hidden="1">
      <c r="A224" s="273" t="s">
        <v>272</v>
      </c>
      <c r="B224" s="172" t="s">
        <v>0</v>
      </c>
      <c r="C224" s="253" t="s">
        <v>345</v>
      </c>
      <c r="D224" s="253" t="s">
        <v>322</v>
      </c>
      <c r="E224" s="254" t="s">
        <v>517</v>
      </c>
      <c r="F224" s="249" t="s">
        <v>266</v>
      </c>
      <c r="G224" s="249" t="s">
        <v>457</v>
      </c>
      <c r="H224" s="175"/>
      <c r="I224" s="175"/>
      <c r="J224" s="175"/>
    </row>
    <row r="225" spans="1:10" ht="16.5">
      <c r="A225" s="295" t="s">
        <v>379</v>
      </c>
      <c r="B225" s="171" t="s">
        <v>0</v>
      </c>
      <c r="C225" s="250" t="s">
        <v>345</v>
      </c>
      <c r="D225" s="250" t="s">
        <v>326</v>
      </c>
      <c r="E225" s="250"/>
      <c r="F225" s="251"/>
      <c r="G225" s="251"/>
      <c r="H225" s="252">
        <f aca="true" t="shared" si="20" ref="H225:J226">H226</f>
        <v>6946279.3</v>
      </c>
      <c r="I225" s="252">
        <f t="shared" si="20"/>
        <v>6163814.74</v>
      </c>
      <c r="J225" s="252">
        <f t="shared" si="20"/>
        <v>6163814.74</v>
      </c>
    </row>
    <row r="226" spans="1:10" ht="16.5">
      <c r="A226" s="272" t="s">
        <v>311</v>
      </c>
      <c r="B226" s="171" t="s">
        <v>0</v>
      </c>
      <c r="C226" s="250" t="s">
        <v>345</v>
      </c>
      <c r="D226" s="250" t="s">
        <v>326</v>
      </c>
      <c r="E226" s="250" t="s">
        <v>312</v>
      </c>
      <c r="F226" s="251"/>
      <c r="G226" s="251"/>
      <c r="H226" s="252">
        <f t="shared" si="20"/>
        <v>6946279.3</v>
      </c>
      <c r="I226" s="252">
        <f t="shared" si="20"/>
        <v>6163814.74</v>
      </c>
      <c r="J226" s="252">
        <f t="shared" si="20"/>
        <v>6163814.74</v>
      </c>
    </row>
    <row r="227" spans="1:10" ht="16.5">
      <c r="A227" s="272" t="s">
        <v>331</v>
      </c>
      <c r="B227" s="171" t="s">
        <v>0</v>
      </c>
      <c r="C227" s="250" t="s">
        <v>345</v>
      </c>
      <c r="D227" s="250" t="s">
        <v>326</v>
      </c>
      <c r="E227" s="71" t="s">
        <v>332</v>
      </c>
      <c r="F227" s="251"/>
      <c r="G227" s="251"/>
      <c r="H227" s="252">
        <f>H228+H231+H234+H237</f>
        <v>6946279.3</v>
      </c>
      <c r="I227" s="252">
        <f>I228+I231+I234+I237</f>
        <v>6163814.74</v>
      </c>
      <c r="J227" s="252">
        <f>J228+J231+J234+J237</f>
        <v>6163814.74</v>
      </c>
    </row>
    <row r="228" spans="1:10" ht="51">
      <c r="A228" s="289" t="s">
        <v>518</v>
      </c>
      <c r="B228" s="172" t="s">
        <v>0</v>
      </c>
      <c r="C228" s="253" t="s">
        <v>345</v>
      </c>
      <c r="D228" s="253" t="s">
        <v>326</v>
      </c>
      <c r="E228" s="253" t="s">
        <v>519</v>
      </c>
      <c r="F228" s="249"/>
      <c r="G228" s="249"/>
      <c r="H228" s="175">
        <f>SUM(H229:H230)</f>
        <v>274682.43</v>
      </c>
      <c r="I228" s="175">
        <f>SUM(I229:I230)</f>
        <v>274682</v>
      </c>
      <c r="J228" s="175">
        <f>SUM(J229:J230)</f>
        <v>274682</v>
      </c>
    </row>
    <row r="229" spans="1:10" ht="67.5">
      <c r="A229" s="273" t="s">
        <v>194</v>
      </c>
      <c r="B229" s="172" t="s">
        <v>0</v>
      </c>
      <c r="C229" s="253" t="s">
        <v>345</v>
      </c>
      <c r="D229" s="253" t="s">
        <v>326</v>
      </c>
      <c r="E229" s="253" t="s">
        <v>519</v>
      </c>
      <c r="F229" s="249" t="s">
        <v>229</v>
      </c>
      <c r="G229" s="249" t="s">
        <v>457</v>
      </c>
      <c r="H229" s="175">
        <f>237923.2+176.09</f>
        <v>238099.29</v>
      </c>
      <c r="I229" s="175">
        <v>237923</v>
      </c>
      <c r="J229" s="175">
        <v>237923</v>
      </c>
    </row>
    <row r="230" spans="1:10" ht="33.75">
      <c r="A230" s="273" t="s">
        <v>195</v>
      </c>
      <c r="B230" s="172" t="s">
        <v>0</v>
      </c>
      <c r="C230" s="253" t="s">
        <v>345</v>
      </c>
      <c r="D230" s="253" t="s">
        <v>326</v>
      </c>
      <c r="E230" s="253" t="s">
        <v>519</v>
      </c>
      <c r="F230" s="249" t="s">
        <v>252</v>
      </c>
      <c r="G230" s="249" t="s">
        <v>457</v>
      </c>
      <c r="H230" s="175">
        <f>36759.23-176.09</f>
        <v>36583.14000000001</v>
      </c>
      <c r="I230" s="175">
        <v>36759</v>
      </c>
      <c r="J230" s="175">
        <v>36759</v>
      </c>
    </row>
    <row r="231" spans="1:10" ht="33.75">
      <c r="A231" s="282" t="s">
        <v>452</v>
      </c>
      <c r="B231" s="172" t="s">
        <v>0</v>
      </c>
      <c r="C231" s="253" t="s">
        <v>345</v>
      </c>
      <c r="D231" s="253" t="s">
        <v>326</v>
      </c>
      <c r="E231" s="253" t="s">
        <v>520</v>
      </c>
      <c r="F231" s="249"/>
      <c r="G231" s="249"/>
      <c r="H231" s="175">
        <f>SUM(H232:H233)</f>
        <v>4462545.2</v>
      </c>
      <c r="I231" s="175">
        <f>SUM(I232:I233)</f>
        <v>3898575.82</v>
      </c>
      <c r="J231" s="175">
        <f>SUM(J232:J233)</f>
        <v>3898575.82</v>
      </c>
    </row>
    <row r="232" spans="1:10" ht="67.5">
      <c r="A232" s="273" t="s">
        <v>194</v>
      </c>
      <c r="B232" s="172" t="s">
        <v>0</v>
      </c>
      <c r="C232" s="253" t="s">
        <v>345</v>
      </c>
      <c r="D232" s="253" t="s">
        <v>326</v>
      </c>
      <c r="E232" s="253" t="s">
        <v>520</v>
      </c>
      <c r="F232" s="249" t="s">
        <v>229</v>
      </c>
      <c r="G232" s="249" t="s">
        <v>457</v>
      </c>
      <c r="H232" s="175">
        <f>4224863.82-9426.79</f>
        <v>4215437.03</v>
      </c>
      <c r="I232" s="18">
        <v>3790095.82</v>
      </c>
      <c r="J232" s="18">
        <v>3790095.82</v>
      </c>
    </row>
    <row r="233" spans="1:10" ht="33.75">
      <c r="A233" s="273" t="s">
        <v>195</v>
      </c>
      <c r="B233" s="172" t="s">
        <v>0</v>
      </c>
      <c r="C233" s="253" t="s">
        <v>345</v>
      </c>
      <c r="D233" s="253" t="s">
        <v>326</v>
      </c>
      <c r="E233" s="253" t="s">
        <v>520</v>
      </c>
      <c r="F233" s="249" t="s">
        <v>252</v>
      </c>
      <c r="G233" s="249" t="s">
        <v>457</v>
      </c>
      <c r="H233" s="175">
        <f>237681.38+9426.79</f>
        <v>247108.17</v>
      </c>
      <c r="I233" s="18">
        <v>108480</v>
      </c>
      <c r="J233" s="18">
        <v>108480</v>
      </c>
    </row>
    <row r="234" spans="1:10" ht="33.75">
      <c r="A234" s="282" t="s">
        <v>521</v>
      </c>
      <c r="B234" s="172" t="s">
        <v>0</v>
      </c>
      <c r="C234" s="253" t="s">
        <v>345</v>
      </c>
      <c r="D234" s="253" t="s">
        <v>326</v>
      </c>
      <c r="E234" s="253" t="s">
        <v>522</v>
      </c>
      <c r="F234" s="249"/>
      <c r="G234" s="249"/>
      <c r="H234" s="175">
        <f>SUM(H235:H236)</f>
        <v>1080244.3800000001</v>
      </c>
      <c r="I234" s="175">
        <f>SUM(I235:I236)</f>
        <v>958087.92</v>
      </c>
      <c r="J234" s="175">
        <f>SUM(J235:J236)</f>
        <v>958087.92</v>
      </c>
    </row>
    <row r="235" spans="1:10" ht="67.5">
      <c r="A235" s="273" t="s">
        <v>194</v>
      </c>
      <c r="B235" s="172" t="s">
        <v>0</v>
      </c>
      <c r="C235" s="253" t="s">
        <v>345</v>
      </c>
      <c r="D235" s="253" t="s">
        <v>326</v>
      </c>
      <c r="E235" s="253" t="s">
        <v>522</v>
      </c>
      <c r="F235" s="249" t="s">
        <v>229</v>
      </c>
      <c r="G235" s="249" t="s">
        <v>457</v>
      </c>
      <c r="H235" s="175">
        <f>1029161.92+4912.27</f>
        <v>1034074.1900000001</v>
      </c>
      <c r="I235" s="175">
        <v>934687.92</v>
      </c>
      <c r="J235" s="175">
        <v>934687.92</v>
      </c>
    </row>
    <row r="236" spans="1:17" s="268" customFormat="1" ht="33.75">
      <c r="A236" s="273" t="s">
        <v>195</v>
      </c>
      <c r="B236" s="172" t="s">
        <v>0</v>
      </c>
      <c r="C236" s="253" t="s">
        <v>345</v>
      </c>
      <c r="D236" s="253" t="s">
        <v>326</v>
      </c>
      <c r="E236" s="253" t="s">
        <v>522</v>
      </c>
      <c r="F236" s="249" t="s">
        <v>252</v>
      </c>
      <c r="G236" s="249" t="s">
        <v>457</v>
      </c>
      <c r="H236" s="175">
        <f>51082.46-4912.27</f>
        <v>46170.19</v>
      </c>
      <c r="I236" s="175">
        <v>23400</v>
      </c>
      <c r="J236" s="175">
        <v>23400</v>
      </c>
      <c r="L236" s="269"/>
      <c r="M236" s="269"/>
      <c r="N236" s="269"/>
      <c r="O236" s="269"/>
      <c r="P236" s="269"/>
      <c r="Q236" s="269"/>
    </row>
    <row r="237" spans="1:10" ht="51">
      <c r="A237" s="282" t="s">
        <v>523</v>
      </c>
      <c r="B237" s="172" t="s">
        <v>0</v>
      </c>
      <c r="C237" s="253" t="s">
        <v>345</v>
      </c>
      <c r="D237" s="253" t="s">
        <v>326</v>
      </c>
      <c r="E237" s="253" t="s">
        <v>453</v>
      </c>
      <c r="F237" s="249"/>
      <c r="G237" s="249"/>
      <c r="H237" s="175">
        <f>SUM(H238:H239)</f>
        <v>1128807.29</v>
      </c>
      <c r="I237" s="175">
        <f>SUM(I238:I239)</f>
        <v>1032469</v>
      </c>
      <c r="J237" s="175">
        <f>SUM(J238:J239)</f>
        <v>1032469</v>
      </c>
    </row>
    <row r="238" spans="1:10" ht="67.5">
      <c r="A238" s="273" t="s">
        <v>194</v>
      </c>
      <c r="B238" s="172" t="s">
        <v>0</v>
      </c>
      <c r="C238" s="253" t="s">
        <v>345</v>
      </c>
      <c r="D238" s="253" t="s">
        <v>326</v>
      </c>
      <c r="E238" s="253" t="s">
        <v>453</v>
      </c>
      <c r="F238" s="249" t="s">
        <v>229</v>
      </c>
      <c r="G238" s="249" t="s">
        <v>457</v>
      </c>
      <c r="H238" s="175">
        <f>1076719+2847.29</f>
        <v>1079566.29</v>
      </c>
      <c r="I238" s="175">
        <v>980379</v>
      </c>
      <c r="J238" s="175">
        <v>980379</v>
      </c>
    </row>
    <row r="239" spans="1:10" ht="33.75">
      <c r="A239" s="273" t="s">
        <v>195</v>
      </c>
      <c r="B239" s="172" t="s">
        <v>0</v>
      </c>
      <c r="C239" s="253" t="s">
        <v>345</v>
      </c>
      <c r="D239" s="253" t="s">
        <v>326</v>
      </c>
      <c r="E239" s="253" t="s">
        <v>453</v>
      </c>
      <c r="F239" s="249" t="s">
        <v>252</v>
      </c>
      <c r="G239" s="249" t="s">
        <v>457</v>
      </c>
      <c r="H239" s="175">
        <f>52088.29-2847.29</f>
        <v>49241</v>
      </c>
      <c r="I239" s="175">
        <v>52090</v>
      </c>
      <c r="J239" s="175">
        <v>52090</v>
      </c>
    </row>
    <row r="240" spans="1:10" ht="16.5">
      <c r="A240" s="272" t="s">
        <v>380</v>
      </c>
      <c r="B240" s="171" t="s">
        <v>0</v>
      </c>
      <c r="C240" s="250" t="s">
        <v>330</v>
      </c>
      <c r="D240" s="250"/>
      <c r="E240" s="250"/>
      <c r="F240" s="251"/>
      <c r="G240" s="251"/>
      <c r="H240" s="252">
        <f>H241</f>
        <v>3004500</v>
      </c>
      <c r="I240" s="252">
        <f>I241</f>
        <v>0</v>
      </c>
      <c r="J240" s="252">
        <f>J241</f>
        <v>0</v>
      </c>
    </row>
    <row r="241" spans="1:10" ht="16.5">
      <c r="A241" s="272" t="s">
        <v>381</v>
      </c>
      <c r="B241" s="171" t="s">
        <v>0</v>
      </c>
      <c r="C241" s="250" t="s">
        <v>330</v>
      </c>
      <c r="D241" s="250" t="s">
        <v>308</v>
      </c>
      <c r="E241" s="250"/>
      <c r="F241" s="251"/>
      <c r="G241" s="251"/>
      <c r="H241" s="252">
        <f>H246+H242</f>
        <v>3004500</v>
      </c>
      <c r="I241" s="252">
        <f>I246+I242</f>
        <v>0</v>
      </c>
      <c r="J241" s="252">
        <f>J246+J242</f>
        <v>0</v>
      </c>
    </row>
    <row r="242" spans="1:10" ht="16.5">
      <c r="A242" s="272" t="s">
        <v>275</v>
      </c>
      <c r="B242" s="171" t="s">
        <v>0</v>
      </c>
      <c r="C242" s="250" t="s">
        <v>330</v>
      </c>
      <c r="D242" s="250" t="s">
        <v>308</v>
      </c>
      <c r="E242" s="250" t="s">
        <v>276</v>
      </c>
      <c r="F242" s="251"/>
      <c r="G242" s="251"/>
      <c r="H242" s="252">
        <f aca="true" t="shared" si="21" ref="H242:J243">H243</f>
        <v>2504500</v>
      </c>
      <c r="I242" s="252">
        <f t="shared" si="21"/>
        <v>0</v>
      </c>
      <c r="J242" s="252">
        <f t="shared" si="21"/>
        <v>0</v>
      </c>
    </row>
    <row r="243" spans="1:10" ht="16.5">
      <c r="A243" s="272" t="s">
        <v>192</v>
      </c>
      <c r="B243" s="171" t="s">
        <v>0</v>
      </c>
      <c r="C243" s="250" t="s">
        <v>330</v>
      </c>
      <c r="D243" s="250" t="s">
        <v>308</v>
      </c>
      <c r="E243" s="250" t="s">
        <v>277</v>
      </c>
      <c r="F243" s="251"/>
      <c r="G243" s="251"/>
      <c r="H243" s="252">
        <f t="shared" si="21"/>
        <v>2504500</v>
      </c>
      <c r="I243" s="252">
        <f t="shared" si="21"/>
        <v>0</v>
      </c>
      <c r="J243" s="252">
        <f t="shared" si="21"/>
        <v>0</v>
      </c>
    </row>
    <row r="244" spans="1:10" ht="33.75">
      <c r="A244" s="273" t="s">
        <v>337</v>
      </c>
      <c r="B244" s="172" t="s">
        <v>0</v>
      </c>
      <c r="C244" s="253" t="s">
        <v>330</v>
      </c>
      <c r="D244" s="253" t="s">
        <v>308</v>
      </c>
      <c r="E244" s="253" t="s">
        <v>524</v>
      </c>
      <c r="F244" s="249"/>
      <c r="G244" s="249"/>
      <c r="H244" s="175">
        <f>H245</f>
        <v>2504500</v>
      </c>
      <c r="I244" s="175">
        <f>I1834</f>
        <v>0</v>
      </c>
      <c r="J244" s="175">
        <f>J1834</f>
        <v>0</v>
      </c>
    </row>
    <row r="245" spans="1:10" ht="67.5">
      <c r="A245" s="273" t="s">
        <v>194</v>
      </c>
      <c r="B245" s="172" t="s">
        <v>0</v>
      </c>
      <c r="C245" s="253" t="s">
        <v>330</v>
      </c>
      <c r="D245" s="253" t="s">
        <v>308</v>
      </c>
      <c r="E245" s="253" t="s">
        <v>524</v>
      </c>
      <c r="F245" s="249" t="s">
        <v>229</v>
      </c>
      <c r="G245" s="249" t="s">
        <v>457</v>
      </c>
      <c r="H245" s="175">
        <v>2504500</v>
      </c>
      <c r="I245" s="175">
        <v>0</v>
      </c>
      <c r="J245" s="175">
        <v>0</v>
      </c>
    </row>
    <row r="246" spans="1:10" ht="16.5">
      <c r="A246" s="292" t="s">
        <v>311</v>
      </c>
      <c r="B246" s="171" t="s">
        <v>0</v>
      </c>
      <c r="C246" s="250" t="s">
        <v>330</v>
      </c>
      <c r="D246" s="250" t="s">
        <v>308</v>
      </c>
      <c r="E246" s="71" t="s">
        <v>312</v>
      </c>
      <c r="F246" s="251"/>
      <c r="G246" s="251"/>
      <c r="H246" s="252">
        <f aca="true" t="shared" si="22" ref="H246:J248">H247</f>
        <v>500000</v>
      </c>
      <c r="I246" s="252">
        <f t="shared" si="22"/>
        <v>0</v>
      </c>
      <c r="J246" s="252">
        <f t="shared" si="22"/>
        <v>0</v>
      </c>
    </row>
    <row r="247" spans="1:17" s="268" customFormat="1" ht="16.5">
      <c r="A247" s="273" t="s">
        <v>331</v>
      </c>
      <c r="B247" s="172" t="s">
        <v>0</v>
      </c>
      <c r="C247" s="253" t="s">
        <v>330</v>
      </c>
      <c r="D247" s="253" t="s">
        <v>308</v>
      </c>
      <c r="E247" s="47" t="s">
        <v>332</v>
      </c>
      <c r="F247" s="251"/>
      <c r="G247" s="251"/>
      <c r="H247" s="175">
        <f t="shared" si="22"/>
        <v>500000</v>
      </c>
      <c r="I247" s="175">
        <f t="shared" si="22"/>
        <v>0</v>
      </c>
      <c r="J247" s="175">
        <f t="shared" si="22"/>
        <v>0</v>
      </c>
      <c r="L247" s="269"/>
      <c r="M247" s="269"/>
      <c r="N247" s="269"/>
      <c r="O247" s="269"/>
      <c r="P247" s="269"/>
      <c r="Q247" s="269"/>
    </row>
    <row r="248" spans="1:17" s="268" customFormat="1" ht="16.5">
      <c r="A248" s="296" t="s">
        <v>382</v>
      </c>
      <c r="B248" s="172" t="s">
        <v>0</v>
      </c>
      <c r="C248" s="253" t="s">
        <v>330</v>
      </c>
      <c r="D248" s="253" t="s">
        <v>308</v>
      </c>
      <c r="E248" s="259" t="s">
        <v>383</v>
      </c>
      <c r="F248" s="249"/>
      <c r="G248" s="249"/>
      <c r="H248" s="175">
        <f t="shared" si="22"/>
        <v>500000</v>
      </c>
      <c r="I248" s="175">
        <f t="shared" si="22"/>
        <v>0</v>
      </c>
      <c r="J248" s="175">
        <f t="shared" si="22"/>
        <v>0</v>
      </c>
      <c r="L248" s="269"/>
      <c r="M248" s="269"/>
      <c r="N248" s="269"/>
      <c r="O248" s="269"/>
      <c r="P248" s="269"/>
      <c r="Q248" s="269"/>
    </row>
    <row r="249" spans="1:10" ht="33.75">
      <c r="A249" s="273" t="s">
        <v>195</v>
      </c>
      <c r="B249" s="172" t="s">
        <v>0</v>
      </c>
      <c r="C249" s="253" t="s">
        <v>330</v>
      </c>
      <c r="D249" s="253" t="s">
        <v>308</v>
      </c>
      <c r="E249" s="259" t="s">
        <v>383</v>
      </c>
      <c r="F249" s="249" t="s">
        <v>252</v>
      </c>
      <c r="G249" s="249" t="s">
        <v>437</v>
      </c>
      <c r="H249" s="175">
        <v>500000</v>
      </c>
      <c r="I249" s="175">
        <v>0</v>
      </c>
      <c r="J249" s="18">
        <v>0</v>
      </c>
    </row>
    <row r="250" spans="1:10" ht="51">
      <c r="A250" s="276" t="s">
        <v>384</v>
      </c>
      <c r="B250" s="171" t="s">
        <v>0</v>
      </c>
      <c r="C250" s="250" t="s">
        <v>385</v>
      </c>
      <c r="D250" s="250"/>
      <c r="E250" s="250"/>
      <c r="F250" s="251"/>
      <c r="G250" s="253"/>
      <c r="H250" s="175">
        <f>H251+H256</f>
        <v>293424900</v>
      </c>
      <c r="I250" s="175">
        <f>I251+I256</f>
        <v>198888910</v>
      </c>
      <c r="J250" s="175">
        <f>J251+J256</f>
        <v>197667500</v>
      </c>
    </row>
    <row r="251" spans="1:10" ht="51">
      <c r="A251" s="281" t="s">
        <v>454</v>
      </c>
      <c r="B251" s="171" t="s">
        <v>0</v>
      </c>
      <c r="C251" s="250" t="s">
        <v>385</v>
      </c>
      <c r="D251" s="250" t="s">
        <v>308</v>
      </c>
      <c r="E251" s="250"/>
      <c r="F251" s="251"/>
      <c r="G251" s="253"/>
      <c r="H251" s="175">
        <f>H252</f>
        <v>276074110</v>
      </c>
      <c r="I251" s="175">
        <f aca="true" t="shared" si="23" ref="I251:J254">I252</f>
        <v>198888910</v>
      </c>
      <c r="J251" s="175">
        <f t="shared" si="23"/>
        <v>197667500</v>
      </c>
    </row>
    <row r="252" spans="1:10" ht="16.5">
      <c r="A252" s="272" t="s">
        <v>311</v>
      </c>
      <c r="B252" s="171" t="s">
        <v>0</v>
      </c>
      <c r="C252" s="250" t="s">
        <v>385</v>
      </c>
      <c r="D252" s="250" t="s">
        <v>308</v>
      </c>
      <c r="E252" s="250" t="s">
        <v>312</v>
      </c>
      <c r="F252" s="251"/>
      <c r="G252" s="253"/>
      <c r="H252" s="175">
        <f>H253</f>
        <v>276074110</v>
      </c>
      <c r="I252" s="175">
        <f t="shared" si="23"/>
        <v>198888910</v>
      </c>
      <c r="J252" s="175">
        <f t="shared" si="23"/>
        <v>197667500</v>
      </c>
    </row>
    <row r="253" spans="1:10" ht="16.5">
      <c r="A253" s="273" t="s">
        <v>387</v>
      </c>
      <c r="B253" s="172" t="s">
        <v>0</v>
      </c>
      <c r="C253" s="253" t="s">
        <v>385</v>
      </c>
      <c r="D253" s="253" t="s">
        <v>308</v>
      </c>
      <c r="E253" s="253" t="s">
        <v>388</v>
      </c>
      <c r="F253" s="249"/>
      <c r="G253" s="253"/>
      <c r="H253" s="175">
        <f>H254</f>
        <v>276074110</v>
      </c>
      <c r="I253" s="175">
        <f t="shared" si="23"/>
        <v>198888910</v>
      </c>
      <c r="J253" s="175">
        <f t="shared" si="23"/>
        <v>197667500</v>
      </c>
    </row>
    <row r="254" spans="1:10" ht="33.75">
      <c r="A254" s="289" t="s">
        <v>455</v>
      </c>
      <c r="B254" s="172" t="s">
        <v>0</v>
      </c>
      <c r="C254" s="253" t="s">
        <v>385</v>
      </c>
      <c r="D254" s="253" t="s">
        <v>308</v>
      </c>
      <c r="E254" s="253" t="s">
        <v>456</v>
      </c>
      <c r="F254" s="249"/>
      <c r="G254" s="253"/>
      <c r="H254" s="175">
        <f>H255</f>
        <v>276074110</v>
      </c>
      <c r="I254" s="175">
        <f t="shared" si="23"/>
        <v>198888910</v>
      </c>
      <c r="J254" s="175">
        <f t="shared" si="23"/>
        <v>197667500</v>
      </c>
    </row>
    <row r="255" spans="1:10" ht="16.5">
      <c r="A255" s="280" t="s">
        <v>387</v>
      </c>
      <c r="B255" s="172" t="s">
        <v>0</v>
      </c>
      <c r="C255" s="253" t="s">
        <v>385</v>
      </c>
      <c r="D255" s="253" t="s">
        <v>308</v>
      </c>
      <c r="E255" s="253" t="s">
        <v>456</v>
      </c>
      <c r="F255" s="249" t="s">
        <v>391</v>
      </c>
      <c r="G255" s="253" t="s">
        <v>457</v>
      </c>
      <c r="H255" s="175">
        <v>276074110</v>
      </c>
      <c r="I255" s="175">
        <v>198888910</v>
      </c>
      <c r="J255" s="18">
        <v>197667500</v>
      </c>
    </row>
    <row r="256" spans="1:10" ht="16.5">
      <c r="A256" s="281" t="s">
        <v>660</v>
      </c>
      <c r="B256" s="171" t="s">
        <v>0</v>
      </c>
      <c r="C256" s="250" t="s">
        <v>385</v>
      </c>
      <c r="D256" s="250" t="s">
        <v>310</v>
      </c>
      <c r="E256" s="250"/>
      <c r="F256" s="250"/>
      <c r="G256" s="250"/>
      <c r="H256" s="175">
        <f>H257</f>
        <v>17350790</v>
      </c>
      <c r="I256" s="175">
        <f aca="true" t="shared" si="24" ref="I256:J259">I257</f>
        <v>0</v>
      </c>
      <c r="J256" s="175">
        <f t="shared" si="24"/>
        <v>0</v>
      </c>
    </row>
    <row r="257" spans="1:10" ht="16.5">
      <c r="A257" s="272" t="s">
        <v>311</v>
      </c>
      <c r="B257" s="171" t="s">
        <v>0</v>
      </c>
      <c r="C257" s="250" t="s">
        <v>385</v>
      </c>
      <c r="D257" s="250" t="s">
        <v>310</v>
      </c>
      <c r="E257" s="250" t="s">
        <v>312</v>
      </c>
      <c r="F257" s="250"/>
      <c r="G257" s="250"/>
      <c r="H257" s="175">
        <f>H258</f>
        <v>17350790</v>
      </c>
      <c r="I257" s="175">
        <f t="shared" si="24"/>
        <v>0</v>
      </c>
      <c r="J257" s="175">
        <f t="shared" si="24"/>
        <v>0</v>
      </c>
    </row>
    <row r="258" spans="1:10" ht="16.5">
      <c r="A258" s="272" t="s">
        <v>387</v>
      </c>
      <c r="B258" s="171" t="s">
        <v>0</v>
      </c>
      <c r="C258" s="250" t="s">
        <v>385</v>
      </c>
      <c r="D258" s="250" t="s">
        <v>310</v>
      </c>
      <c r="E258" s="250" t="s">
        <v>388</v>
      </c>
      <c r="F258" s="250"/>
      <c r="G258" s="250"/>
      <c r="H258" s="175">
        <f>H259</f>
        <v>17350790</v>
      </c>
      <c r="I258" s="175">
        <f t="shared" si="24"/>
        <v>0</v>
      </c>
      <c r="J258" s="175">
        <f t="shared" si="24"/>
        <v>0</v>
      </c>
    </row>
    <row r="259" spans="1:10" ht="33.75">
      <c r="A259" s="280" t="s">
        <v>661</v>
      </c>
      <c r="B259" s="172" t="s">
        <v>0</v>
      </c>
      <c r="C259" s="253" t="s">
        <v>385</v>
      </c>
      <c r="D259" s="253" t="s">
        <v>310</v>
      </c>
      <c r="E259" s="253" t="s">
        <v>662</v>
      </c>
      <c r="F259" s="253"/>
      <c r="G259" s="253"/>
      <c r="H259" s="175">
        <f>H260</f>
        <v>17350790</v>
      </c>
      <c r="I259" s="175">
        <f t="shared" si="24"/>
        <v>0</v>
      </c>
      <c r="J259" s="175">
        <f t="shared" si="24"/>
        <v>0</v>
      </c>
    </row>
    <row r="260" spans="1:10" ht="16.5">
      <c r="A260" s="280" t="s">
        <v>387</v>
      </c>
      <c r="B260" s="172" t="s">
        <v>0</v>
      </c>
      <c r="C260" s="253" t="s">
        <v>385</v>
      </c>
      <c r="D260" s="253" t="s">
        <v>310</v>
      </c>
      <c r="E260" s="253" t="s">
        <v>662</v>
      </c>
      <c r="F260" s="253" t="s">
        <v>391</v>
      </c>
      <c r="G260" s="253" t="s">
        <v>457</v>
      </c>
      <c r="H260" s="175">
        <f>1521000+5029940+277500+5381700+3394000+1746650</f>
        <v>17350790</v>
      </c>
      <c r="I260" s="175">
        <v>0</v>
      </c>
      <c r="J260" s="175">
        <v>0</v>
      </c>
    </row>
    <row r="261" spans="1:10" ht="15.75">
      <c r="A261" s="297"/>
      <c r="B261" s="177"/>
      <c r="C261" s="260"/>
      <c r="D261" s="260"/>
      <c r="E261" s="261"/>
      <c r="F261" s="260"/>
      <c r="G261" s="260"/>
      <c r="H261" s="262"/>
      <c r="I261" s="262"/>
      <c r="J261" s="266"/>
    </row>
    <row r="262" spans="1:10" ht="15.75">
      <c r="A262" s="297"/>
      <c r="B262" s="177"/>
      <c r="C262" s="260"/>
      <c r="D262" s="260"/>
      <c r="E262" s="261"/>
      <c r="F262" s="260"/>
      <c r="G262" s="260"/>
      <c r="H262" s="262"/>
      <c r="I262" s="262"/>
      <c r="J262" s="266"/>
    </row>
    <row r="263" spans="1:10" ht="15.75">
      <c r="A263" s="297"/>
      <c r="B263" s="177"/>
      <c r="C263" s="260"/>
      <c r="D263" s="260"/>
      <c r="E263" s="261"/>
      <c r="F263" s="260"/>
      <c r="G263" s="260"/>
      <c r="H263" s="262"/>
      <c r="I263" s="262"/>
      <c r="J263" s="266"/>
    </row>
    <row r="265" ht="15.75">
      <c r="A265" s="263" t="s">
        <v>458</v>
      </c>
    </row>
  </sheetData>
  <sheetProtection/>
  <mergeCells count="1">
    <mergeCell ref="A10:J10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4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0.421875" style="20" customWidth="1"/>
    <col min="2" max="2" width="67.00390625" style="20" customWidth="1"/>
    <col min="3" max="3" width="20.140625" style="181" customWidth="1"/>
    <col min="4" max="4" width="17.421875" style="181" customWidth="1"/>
    <col min="5" max="5" width="17.28125" style="181" bestFit="1" customWidth="1"/>
    <col min="6" max="6" width="16.7109375" style="0" customWidth="1"/>
    <col min="7" max="7" width="12.7109375" style="0" customWidth="1"/>
    <col min="8" max="9" width="14.140625" style="0" customWidth="1"/>
    <col min="10" max="10" width="14.28125" style="0" customWidth="1"/>
    <col min="11" max="11" width="8.8515625" style="0" customWidth="1"/>
    <col min="12" max="12" width="10.8515625" style="0" customWidth="1"/>
  </cols>
  <sheetData>
    <row r="2" spans="2:3" ht="18">
      <c r="B2" s="22"/>
      <c r="C2" s="180" t="s">
        <v>394</v>
      </c>
    </row>
    <row r="3" spans="2:3" ht="18">
      <c r="B3" s="22"/>
      <c r="C3" s="180" t="s">
        <v>303</v>
      </c>
    </row>
    <row r="4" spans="2:3" ht="18">
      <c r="B4" s="22"/>
      <c r="C4" s="180" t="s">
        <v>18</v>
      </c>
    </row>
    <row r="5" spans="2:3" ht="18">
      <c r="B5" s="22"/>
      <c r="C5" s="180" t="s">
        <v>19</v>
      </c>
    </row>
    <row r="6" spans="2:3" ht="18">
      <c r="B6" s="22"/>
      <c r="C6" s="180" t="s">
        <v>20</v>
      </c>
    </row>
    <row r="7" spans="2:3" ht="18">
      <c r="B7" s="22"/>
      <c r="C7" s="180" t="s">
        <v>781</v>
      </c>
    </row>
    <row r="8" ht="18">
      <c r="C8" s="180" t="s">
        <v>782</v>
      </c>
    </row>
    <row r="10" spans="1:5" ht="46.5" customHeight="1">
      <c r="A10" s="370" t="s">
        <v>574</v>
      </c>
      <c r="B10" s="370"/>
      <c r="C10" s="370"/>
      <c r="D10" s="370"/>
      <c r="E10" s="370"/>
    </row>
    <row r="11" ht="15">
      <c r="E11" s="182" t="s">
        <v>525</v>
      </c>
    </row>
    <row r="12" spans="1:5" ht="33.75">
      <c r="A12" s="24" t="s">
        <v>526</v>
      </c>
      <c r="B12" s="24" t="s">
        <v>527</v>
      </c>
      <c r="C12" s="183" t="s">
        <v>23</v>
      </c>
      <c r="D12" s="183" t="s">
        <v>24</v>
      </c>
      <c r="E12" s="183" t="s">
        <v>174</v>
      </c>
    </row>
    <row r="13" spans="1:5" ht="33.75">
      <c r="A13" s="184">
        <v>1</v>
      </c>
      <c r="B13" s="185" t="s">
        <v>528</v>
      </c>
      <c r="C13" s="14">
        <v>276074110</v>
      </c>
      <c r="D13" s="14">
        <v>198888910</v>
      </c>
      <c r="E13" s="18">
        <v>197667500</v>
      </c>
    </row>
    <row r="14" spans="1:5" ht="16.5">
      <c r="A14" s="187" t="s">
        <v>529</v>
      </c>
      <c r="B14" s="188" t="s">
        <v>530</v>
      </c>
      <c r="C14" s="189">
        <v>31818590</v>
      </c>
      <c r="D14" s="190"/>
      <c r="E14" s="190"/>
    </row>
    <row r="15" spans="1:5" ht="16.5">
      <c r="A15" s="187" t="s">
        <v>531</v>
      </c>
      <c r="B15" s="188" t="s">
        <v>532</v>
      </c>
      <c r="C15" s="189">
        <v>34024660</v>
      </c>
      <c r="D15" s="190"/>
      <c r="E15" s="190"/>
    </row>
    <row r="16" spans="1:5" ht="16.5">
      <c r="A16" s="187" t="s">
        <v>533</v>
      </c>
      <c r="B16" s="188" t="s">
        <v>534</v>
      </c>
      <c r="C16" s="189">
        <v>31628630</v>
      </c>
      <c r="D16" s="190"/>
      <c r="E16" s="190"/>
    </row>
    <row r="17" spans="1:5" ht="16.5">
      <c r="A17" s="187" t="s">
        <v>535</v>
      </c>
      <c r="B17" s="188" t="s">
        <v>536</v>
      </c>
      <c r="C17" s="189">
        <v>22330950</v>
      </c>
      <c r="D17" s="190"/>
      <c r="E17" s="190"/>
    </row>
    <row r="18" spans="1:5" ht="16.5">
      <c r="A18" s="187" t="s">
        <v>537</v>
      </c>
      <c r="B18" s="188" t="s">
        <v>538</v>
      </c>
      <c r="C18" s="189">
        <v>23014420</v>
      </c>
      <c r="D18" s="190"/>
      <c r="E18" s="190"/>
    </row>
    <row r="19" spans="1:5" ht="16.5">
      <c r="A19" s="187" t="s">
        <v>539</v>
      </c>
      <c r="B19" s="188" t="s">
        <v>540</v>
      </c>
      <c r="C19" s="189">
        <v>17777140</v>
      </c>
      <c r="D19" s="190"/>
      <c r="E19" s="190"/>
    </row>
    <row r="20" spans="1:5" ht="16.5">
      <c r="A20" s="187" t="s">
        <v>541</v>
      </c>
      <c r="B20" s="188" t="s">
        <v>542</v>
      </c>
      <c r="C20" s="189">
        <v>34086850</v>
      </c>
      <c r="D20" s="190"/>
      <c r="E20" s="190"/>
    </row>
    <row r="21" spans="1:5" ht="16.5">
      <c r="A21" s="187" t="s">
        <v>543</v>
      </c>
      <c r="B21" s="188" t="s">
        <v>544</v>
      </c>
      <c r="C21" s="189">
        <v>25175320</v>
      </c>
      <c r="D21" s="190"/>
      <c r="E21" s="190"/>
    </row>
    <row r="22" spans="1:5" ht="16.5">
      <c r="A22" s="187" t="s">
        <v>545</v>
      </c>
      <c r="B22" s="188" t="s">
        <v>546</v>
      </c>
      <c r="C22" s="189">
        <v>24834480</v>
      </c>
      <c r="D22" s="190"/>
      <c r="E22" s="190"/>
    </row>
    <row r="23" spans="1:5" ht="16.5">
      <c r="A23" s="187" t="s">
        <v>547</v>
      </c>
      <c r="B23" s="188" t="s">
        <v>548</v>
      </c>
      <c r="C23" s="189">
        <v>15493590</v>
      </c>
      <c r="D23" s="190"/>
      <c r="E23" s="190"/>
    </row>
    <row r="24" spans="1:5" ht="16.5">
      <c r="A24" s="187" t="s">
        <v>549</v>
      </c>
      <c r="B24" s="188" t="s">
        <v>550</v>
      </c>
      <c r="C24" s="189">
        <v>15889480</v>
      </c>
      <c r="D24" s="190"/>
      <c r="E24" s="190"/>
    </row>
    <row r="25" spans="1:5" ht="33.75">
      <c r="A25" s="187" t="s">
        <v>669</v>
      </c>
      <c r="B25" s="236" t="s">
        <v>668</v>
      </c>
      <c r="C25" s="189">
        <f>SUM(C26:C36)</f>
        <v>17350790</v>
      </c>
      <c r="D25" s="189">
        <f>SUM(D26:D35)</f>
        <v>0</v>
      </c>
      <c r="E25" s="189">
        <f>SUM(E26:E35)</f>
        <v>0</v>
      </c>
    </row>
    <row r="26" spans="1:5" ht="16.5">
      <c r="A26" s="237" t="s">
        <v>551</v>
      </c>
      <c r="B26" s="188" t="s">
        <v>530</v>
      </c>
      <c r="C26" s="189">
        <f>1221220.49+1461200+595420</f>
        <v>3277840.49</v>
      </c>
      <c r="D26" s="190"/>
      <c r="E26" s="190"/>
    </row>
    <row r="27" spans="1:5" ht="16.5">
      <c r="A27" s="237" t="s">
        <v>552</v>
      </c>
      <c r="B27" s="238" t="s">
        <v>532</v>
      </c>
      <c r="C27" s="189">
        <f>222640+573293.31+517200+139180+513593.58</f>
        <v>1965906.8900000001</v>
      </c>
      <c r="D27" s="190"/>
      <c r="E27" s="190"/>
    </row>
    <row r="28" spans="1:5" ht="16.5">
      <c r="A28" s="237" t="s">
        <v>553</v>
      </c>
      <c r="B28" s="238" t="s">
        <v>534</v>
      </c>
      <c r="C28" s="189">
        <f>229190+467666.2+682900+184950+526544.25</f>
        <v>2091250.45</v>
      </c>
      <c r="D28" s="190"/>
      <c r="E28" s="190"/>
    </row>
    <row r="29" spans="1:5" ht="16.5">
      <c r="A29" s="237" t="s">
        <v>554</v>
      </c>
      <c r="B29" s="238" t="s">
        <v>536</v>
      </c>
      <c r="C29" s="189">
        <f>151896+373110+351900+85850+335605.01</f>
        <v>1298361.01</v>
      </c>
      <c r="D29" s="190"/>
      <c r="E29" s="190"/>
    </row>
    <row r="30" spans="1:5" ht="16.5">
      <c r="A30" s="237" t="s">
        <v>555</v>
      </c>
      <c r="B30" s="238" t="s">
        <v>538</v>
      </c>
      <c r="C30" s="189">
        <f>126921+253780+327200+85010+279041.82</f>
        <v>1071952.82</v>
      </c>
      <c r="D30" s="190"/>
      <c r="E30" s="190"/>
    </row>
    <row r="31" spans="1:5" ht="16.5">
      <c r="A31" s="237" t="s">
        <v>556</v>
      </c>
      <c r="B31" s="238" t="s">
        <v>540</v>
      </c>
      <c r="C31" s="189">
        <f>126921+304320+76840+220500+39740+279041.82</f>
        <v>1047362.8200000001</v>
      </c>
      <c r="D31" s="190"/>
      <c r="E31" s="190"/>
    </row>
    <row r="32" spans="1:5" ht="16.5">
      <c r="A32" s="237" t="s">
        <v>557</v>
      </c>
      <c r="B32" s="238" t="s">
        <v>542</v>
      </c>
      <c r="C32" s="189">
        <f>178626+568230+81260+604700+149160+395620.52</f>
        <v>1977596.52</v>
      </c>
      <c r="D32" s="190"/>
      <c r="E32" s="190"/>
    </row>
    <row r="33" spans="1:5" ht="16.5">
      <c r="A33" s="237" t="s">
        <v>558</v>
      </c>
      <c r="B33" s="238" t="s">
        <v>544</v>
      </c>
      <c r="C33" s="189">
        <f>151896+396300+444700+269400+335605.01</f>
        <v>1597901.01</v>
      </c>
      <c r="D33" s="190"/>
      <c r="E33" s="190"/>
    </row>
    <row r="34" spans="1:5" ht="16.5">
      <c r="A34" s="237" t="s">
        <v>559</v>
      </c>
      <c r="B34" s="238" t="s">
        <v>546</v>
      </c>
      <c r="C34" s="189">
        <f>126921+388230+476500+117430+279041.82</f>
        <v>1388122.82</v>
      </c>
      <c r="D34" s="190"/>
      <c r="E34" s="190"/>
    </row>
    <row r="35" spans="1:5" ht="16.5">
      <c r="A35" s="237" t="s">
        <v>560</v>
      </c>
      <c r="B35" s="238" t="s">
        <v>548</v>
      </c>
      <c r="C35" s="189">
        <f>104041+329470+90740+152200+42900+227427.54</f>
        <v>946778.54</v>
      </c>
      <c r="D35" s="190"/>
      <c r="E35" s="190"/>
    </row>
    <row r="36" spans="1:5" ht="16.5">
      <c r="A36" s="187" t="s">
        <v>754</v>
      </c>
      <c r="B36" s="238" t="s">
        <v>550</v>
      </c>
      <c r="C36" s="189">
        <f>101948+154320+28660+142700+37610+222478.63</f>
        <v>687716.63</v>
      </c>
      <c r="D36" s="190"/>
      <c r="E36" s="190"/>
    </row>
    <row r="37" spans="1:5" ht="67.5">
      <c r="A37" s="191" t="s">
        <v>670</v>
      </c>
      <c r="B37" s="185" t="s">
        <v>565</v>
      </c>
      <c r="C37" s="192">
        <f>SUM(C38:C43)</f>
        <v>2079072.22</v>
      </c>
      <c r="D37" s="192">
        <f>SUM(D38:D43)</f>
        <v>0</v>
      </c>
      <c r="E37" s="192">
        <f>SUM(E38:E43)</f>
        <v>0</v>
      </c>
    </row>
    <row r="38" spans="1:5" ht="16.5">
      <c r="A38" s="187" t="s">
        <v>561</v>
      </c>
      <c r="B38" s="188" t="s">
        <v>530</v>
      </c>
      <c r="C38" s="189">
        <v>2079072.22</v>
      </c>
      <c r="D38" s="189"/>
      <c r="E38" s="189"/>
    </row>
    <row r="39" spans="1:5" ht="16.5" hidden="1">
      <c r="A39" s="187" t="s">
        <v>566</v>
      </c>
      <c r="B39" s="188" t="s">
        <v>532</v>
      </c>
      <c r="C39" s="189"/>
      <c r="D39" s="193"/>
      <c r="E39" s="193"/>
    </row>
    <row r="40" spans="1:5" ht="16.5" hidden="1">
      <c r="A40" s="187" t="s">
        <v>567</v>
      </c>
      <c r="B40" s="188" t="s">
        <v>534</v>
      </c>
      <c r="C40" s="189"/>
      <c r="D40" s="193"/>
      <c r="E40" s="193"/>
    </row>
    <row r="41" spans="1:5" ht="16.5" hidden="1">
      <c r="A41" s="187" t="s">
        <v>568</v>
      </c>
      <c r="B41" s="188" t="s">
        <v>536</v>
      </c>
      <c r="C41" s="189"/>
      <c r="D41" s="193"/>
      <c r="E41" s="193"/>
    </row>
    <row r="42" spans="1:5" ht="16.5" hidden="1">
      <c r="A42" s="187" t="s">
        <v>569</v>
      </c>
      <c r="B42" s="188" t="s">
        <v>538</v>
      </c>
      <c r="C42" s="189"/>
      <c r="D42" s="193"/>
      <c r="E42" s="193"/>
    </row>
    <row r="43" spans="1:5" ht="16.5" hidden="1">
      <c r="A43" s="187" t="s">
        <v>570</v>
      </c>
      <c r="B43" s="188" t="s">
        <v>548</v>
      </c>
      <c r="C43" s="189"/>
      <c r="D43" s="193"/>
      <c r="E43" s="193"/>
    </row>
    <row r="44" spans="1:5" ht="51">
      <c r="A44" s="184" t="s">
        <v>564</v>
      </c>
      <c r="B44" s="185" t="s">
        <v>572</v>
      </c>
      <c r="C44" s="186">
        <f>C45+C47</f>
        <v>478601816.71999997</v>
      </c>
      <c r="D44" s="186">
        <f>D45+D47</f>
        <v>0</v>
      </c>
      <c r="E44" s="186">
        <f>E45+E47</f>
        <v>0</v>
      </c>
    </row>
    <row r="45" spans="1:5" s="21" customFormat="1" ht="33.75">
      <c r="A45" s="194" t="s">
        <v>562</v>
      </c>
      <c r="B45" s="188" t="s">
        <v>389</v>
      </c>
      <c r="C45" s="190">
        <f>C46</f>
        <v>226058000</v>
      </c>
      <c r="D45" s="190">
        <f>D46</f>
        <v>0</v>
      </c>
      <c r="E45" s="190">
        <f>E46</f>
        <v>0</v>
      </c>
    </row>
    <row r="46" spans="1:5" ht="16.5">
      <c r="A46" s="187" t="s">
        <v>671</v>
      </c>
      <c r="B46" s="188" t="s">
        <v>573</v>
      </c>
      <c r="C46" s="190">
        <f>'Приложение 3'!F234</f>
        <v>226058000</v>
      </c>
      <c r="D46" s="190">
        <f>'[2]Приложение 4'!G213</f>
        <v>0</v>
      </c>
      <c r="E46" s="190">
        <f>'[2]Приложение 4'!H213</f>
        <v>0</v>
      </c>
    </row>
    <row r="47" spans="1:5" ht="16.5">
      <c r="A47" s="194" t="s">
        <v>563</v>
      </c>
      <c r="B47" s="188" t="s">
        <v>392</v>
      </c>
      <c r="C47" s="190">
        <f>SUM(C49:C59)</f>
        <v>252543816.71999997</v>
      </c>
      <c r="D47" s="190">
        <f>SUM(D49:D58)</f>
        <v>0</v>
      </c>
      <c r="E47" s="190">
        <f>SUM(E49:E58)</f>
        <v>0</v>
      </c>
    </row>
    <row r="48" spans="1:5" ht="15.75" hidden="1">
      <c r="A48" s="194"/>
      <c r="B48" s="195"/>
      <c r="C48" s="190"/>
      <c r="D48" s="190"/>
      <c r="E48" s="190"/>
    </row>
    <row r="49" spans="1:10" ht="16.5">
      <c r="A49" s="187" t="s">
        <v>672</v>
      </c>
      <c r="B49" s="196" t="s">
        <v>530</v>
      </c>
      <c r="C49" s="190">
        <f>91062871.73+1582150.35+8642390.77+3481059.96+12413400+5098035.97+32894436.44+1840726.14+3233000</f>
        <v>160248071.35999998</v>
      </c>
      <c r="D49" s="190"/>
      <c r="E49" s="190"/>
      <c r="I49" s="299"/>
      <c r="J49" s="299"/>
    </row>
    <row r="50" spans="1:5" ht="16.5">
      <c r="A50" s="187" t="s">
        <v>673</v>
      </c>
      <c r="B50" s="195" t="s">
        <v>532</v>
      </c>
      <c r="C50" s="190">
        <f>3000000+22152788</f>
        <v>25152788</v>
      </c>
      <c r="D50" s="190"/>
      <c r="E50" s="190"/>
    </row>
    <row r="51" spans="1:5" ht="16.5">
      <c r="A51" s="187" t="s">
        <v>674</v>
      </c>
      <c r="B51" s="195" t="s">
        <v>534</v>
      </c>
      <c r="C51" s="190">
        <v>3000000</v>
      </c>
      <c r="D51" s="190"/>
      <c r="E51" s="190"/>
    </row>
    <row r="52" spans="1:8" ht="16.5">
      <c r="A52" s="187" t="s">
        <v>675</v>
      </c>
      <c r="B52" s="188" t="s">
        <v>536</v>
      </c>
      <c r="C52" s="190">
        <f>1000000+3006565.6+5621220</f>
        <v>9627785.6</v>
      </c>
      <c r="D52" s="190"/>
      <c r="E52" s="190"/>
      <c r="H52" s="303"/>
    </row>
    <row r="53" spans="1:5" ht="16.5">
      <c r="A53" s="187" t="s">
        <v>676</v>
      </c>
      <c r="B53" s="188" t="s">
        <v>538</v>
      </c>
      <c r="C53" s="190">
        <f>1000000+791472.75+1003824.4+906178</f>
        <v>3701475.15</v>
      </c>
      <c r="D53" s="190"/>
      <c r="E53" s="190"/>
    </row>
    <row r="54" spans="1:5" ht="16.5">
      <c r="A54" s="187" t="s">
        <v>677</v>
      </c>
      <c r="B54" s="188" t="s">
        <v>540</v>
      </c>
      <c r="C54" s="190">
        <f>1000000+5864405.34+1109251.2</f>
        <v>7973656.54</v>
      </c>
      <c r="D54" s="190"/>
      <c r="E54" s="190"/>
    </row>
    <row r="55" spans="1:5" ht="16.5">
      <c r="A55" s="187" t="s">
        <v>678</v>
      </c>
      <c r="B55" s="188" t="s">
        <v>542</v>
      </c>
      <c r="C55" s="190">
        <f>1000000+3688180.27+4760823.2</f>
        <v>9449003.469999999</v>
      </c>
      <c r="D55" s="190"/>
      <c r="E55" s="190"/>
    </row>
    <row r="56" spans="1:5" ht="16.5">
      <c r="A56" s="187" t="s">
        <v>679</v>
      </c>
      <c r="B56" s="188" t="s">
        <v>544</v>
      </c>
      <c r="C56" s="190">
        <f>1000000+6066051.6+546484</f>
        <v>7612535.6</v>
      </c>
      <c r="D56" s="190"/>
      <c r="E56" s="190"/>
    </row>
    <row r="57" spans="1:5" ht="16.5">
      <c r="A57" s="187" t="s">
        <v>680</v>
      </c>
      <c r="B57" s="188" t="s">
        <v>546</v>
      </c>
      <c r="C57" s="190">
        <f>1000000+5086524+5621216.4</f>
        <v>11707740.4</v>
      </c>
      <c r="D57" s="190"/>
      <c r="E57" s="190"/>
    </row>
    <row r="58" spans="1:5" ht="16.5">
      <c r="A58" s="187" t="s">
        <v>681</v>
      </c>
      <c r="B58" s="188" t="s">
        <v>548</v>
      </c>
      <c r="C58" s="190">
        <f>1000000+5621216.4</f>
        <v>6621216.4</v>
      </c>
      <c r="D58" s="190"/>
      <c r="E58" s="190"/>
    </row>
    <row r="59" spans="1:5" ht="16.5">
      <c r="A59" s="187" t="s">
        <v>682</v>
      </c>
      <c r="B59" s="188" t="s">
        <v>550</v>
      </c>
      <c r="C59" s="190">
        <f>1000000+6449544.2</f>
        <v>7449544.2</v>
      </c>
      <c r="D59" s="190"/>
      <c r="E59" s="190"/>
    </row>
    <row r="60" spans="1:5" s="199" customFormat="1" ht="15.75">
      <c r="A60" s="197"/>
      <c r="B60" s="197" t="s">
        <v>189</v>
      </c>
      <c r="C60" s="198">
        <f>C13+C25+C37+C44</f>
        <v>774105788.94</v>
      </c>
      <c r="D60" s="198">
        <f>D13+D25+D37+D44</f>
        <v>198888910</v>
      </c>
      <c r="E60" s="198">
        <f>E13+E25+E37+E44</f>
        <v>197667500</v>
      </c>
    </row>
    <row r="61" spans="2:5" ht="15.75">
      <c r="B61" s="196"/>
      <c r="C61" s="200"/>
      <c r="D61" s="200"/>
      <c r="E61" s="200"/>
    </row>
  </sheetData>
  <sheetProtection/>
  <mergeCells count="1">
    <mergeCell ref="A10:E10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zoomScalePageLayoutView="0" workbookViewId="0" topLeftCell="A4">
      <selection activeCell="B7" sqref="B7"/>
    </sheetView>
  </sheetViews>
  <sheetFormatPr defaultColWidth="8.8515625" defaultRowHeight="15"/>
  <cols>
    <col min="1" max="1" width="7.421875" style="20" customWidth="1"/>
    <col min="2" max="2" width="79.421875" style="20" customWidth="1"/>
    <col min="3" max="3" width="19.7109375" style="181" customWidth="1"/>
    <col min="4" max="4" width="23.7109375" style="181" customWidth="1"/>
    <col min="5" max="5" width="19.421875" style="181" customWidth="1"/>
  </cols>
  <sheetData>
    <row r="2" spans="2:3" ht="18">
      <c r="B2" s="203"/>
      <c r="C2" s="180" t="s">
        <v>426</v>
      </c>
    </row>
    <row r="3" spans="2:3" ht="18">
      <c r="B3" s="204"/>
      <c r="C3" s="180" t="s">
        <v>303</v>
      </c>
    </row>
    <row r="4" spans="2:3" ht="18">
      <c r="B4" s="204"/>
      <c r="C4" s="180" t="s">
        <v>18</v>
      </c>
    </row>
    <row r="5" spans="2:3" ht="18">
      <c r="B5" s="203"/>
      <c r="C5" s="180" t="s">
        <v>19</v>
      </c>
    </row>
    <row r="6" spans="2:3" ht="18">
      <c r="B6" s="204"/>
      <c r="C6" s="180" t="s">
        <v>20</v>
      </c>
    </row>
    <row r="7" spans="2:3" ht="18">
      <c r="B7" s="204"/>
      <c r="C7" s="180" t="s">
        <v>781</v>
      </c>
    </row>
    <row r="8" ht="18">
      <c r="C8" s="180" t="s">
        <v>782</v>
      </c>
    </row>
    <row r="11" spans="1:5" ht="41.25" customHeight="1">
      <c r="A11" s="371" t="s">
        <v>622</v>
      </c>
      <c r="B11" s="371"/>
      <c r="C11" s="371"/>
      <c r="D11" s="371"/>
      <c r="E11" s="371"/>
    </row>
    <row r="12" ht="15">
      <c r="E12" s="182" t="s">
        <v>186</v>
      </c>
    </row>
    <row r="13" spans="1:5" ht="16.5">
      <c r="A13" s="205"/>
      <c r="B13" s="206" t="s">
        <v>578</v>
      </c>
      <c r="C13" s="207" t="s">
        <v>23</v>
      </c>
      <c r="D13" s="207" t="s">
        <v>24</v>
      </c>
      <c r="E13" s="207" t="s">
        <v>174</v>
      </c>
    </row>
    <row r="14" spans="1:5" ht="16.5">
      <c r="A14" s="208"/>
      <c r="B14" s="185" t="s">
        <v>579</v>
      </c>
      <c r="C14" s="192">
        <f>C18+C21+C27+C24</f>
        <v>1200658778.459999</v>
      </c>
      <c r="D14" s="192">
        <f>D18+D21+D27+D24</f>
        <v>18682585.64999962</v>
      </c>
      <c r="E14" s="192">
        <f>E18+E21+E27+E24</f>
        <v>-87705814.62999964</v>
      </c>
    </row>
    <row r="15" spans="1:5" ht="16.5">
      <c r="A15" s="209" t="s">
        <v>580</v>
      </c>
      <c r="B15" s="185" t="s">
        <v>575</v>
      </c>
      <c r="C15" s="192"/>
      <c r="D15" s="193" t="s">
        <v>581</v>
      </c>
      <c r="E15" s="193"/>
    </row>
    <row r="16" spans="1:5" ht="16.5" hidden="1">
      <c r="A16" s="210" t="s">
        <v>582</v>
      </c>
      <c r="B16" s="188" t="s">
        <v>583</v>
      </c>
      <c r="C16" s="189"/>
      <c r="D16" s="193"/>
      <c r="E16" s="193"/>
    </row>
    <row r="17" spans="1:5" ht="16.5" hidden="1">
      <c r="A17" s="210" t="s">
        <v>584</v>
      </c>
      <c r="B17" s="188" t="s">
        <v>585</v>
      </c>
      <c r="C17" s="189"/>
      <c r="D17" s="193"/>
      <c r="E17" s="193"/>
    </row>
    <row r="18" spans="1:5" ht="16.5">
      <c r="A18" s="209" t="s">
        <v>586</v>
      </c>
      <c r="B18" s="185" t="s">
        <v>587</v>
      </c>
      <c r="C18" s="192">
        <f>C19+C20</f>
        <v>0</v>
      </c>
      <c r="D18" s="192">
        <f>D19+D20</f>
        <v>0</v>
      </c>
      <c r="E18" s="192">
        <f>E19+E20</f>
        <v>0</v>
      </c>
    </row>
    <row r="19" spans="1:5" ht="16.5" hidden="1">
      <c r="A19" s="210" t="s">
        <v>588</v>
      </c>
      <c r="B19" s="188" t="s">
        <v>583</v>
      </c>
      <c r="C19" s="189">
        <v>0</v>
      </c>
      <c r="D19" s="193"/>
      <c r="E19" s="193"/>
    </row>
    <row r="20" spans="1:5" ht="16.5" hidden="1">
      <c r="A20" s="210" t="s">
        <v>589</v>
      </c>
      <c r="B20" s="188" t="s">
        <v>585</v>
      </c>
      <c r="C20" s="189"/>
      <c r="D20" s="193"/>
      <c r="E20" s="193"/>
    </row>
    <row r="21" spans="1:5" ht="16.5">
      <c r="A21" s="209" t="s">
        <v>590</v>
      </c>
      <c r="B21" s="185" t="s">
        <v>591</v>
      </c>
      <c r="C21" s="192">
        <f>C22+C23</f>
        <v>0</v>
      </c>
      <c r="D21" s="192">
        <f>D22+D23</f>
        <v>0</v>
      </c>
      <c r="E21" s="192">
        <f>E22+E23</f>
        <v>0</v>
      </c>
    </row>
    <row r="22" spans="1:5" ht="16.5" hidden="1">
      <c r="A22" s="210" t="s">
        <v>592</v>
      </c>
      <c r="B22" s="188" t="s">
        <v>583</v>
      </c>
      <c r="C22" s="190"/>
      <c r="D22" s="193"/>
      <c r="E22" s="211"/>
    </row>
    <row r="23" spans="1:5" ht="16.5" hidden="1">
      <c r="A23" s="210" t="s">
        <v>593</v>
      </c>
      <c r="B23" s="188" t="s">
        <v>585</v>
      </c>
      <c r="C23" s="201"/>
      <c r="D23" s="193"/>
      <c r="E23" s="193"/>
    </row>
    <row r="24" spans="1:5" ht="16.5">
      <c r="A24" s="209" t="s">
        <v>564</v>
      </c>
      <c r="B24" s="185" t="s">
        <v>594</v>
      </c>
      <c r="C24" s="192">
        <f>C25+C26</f>
        <v>1200658778.459999</v>
      </c>
      <c r="D24" s="192">
        <f>D25+D26</f>
        <v>18682585.64999962</v>
      </c>
      <c r="E24" s="192">
        <f>E25+E26</f>
        <v>-87705814.62999964</v>
      </c>
    </row>
    <row r="25" spans="1:5" ht="16.5">
      <c r="A25" s="210" t="s">
        <v>595</v>
      </c>
      <c r="B25" s="188" t="s">
        <v>596</v>
      </c>
      <c r="C25" s="189">
        <f>-Приложение_1!C142</f>
        <v>-4144481862.26</v>
      </c>
      <c r="D25" s="189">
        <f>-Приложение_1!D142</f>
        <v>-3699412051.56</v>
      </c>
      <c r="E25" s="189">
        <f>-Приложение_1!E142</f>
        <v>-3826942498.89</v>
      </c>
    </row>
    <row r="26" spans="1:5" ht="16.5">
      <c r="A26" s="210" t="s">
        <v>597</v>
      </c>
      <c r="B26" s="188" t="s">
        <v>598</v>
      </c>
      <c r="C26" s="189">
        <f>'Приложение 4'!F15+'Приложение 6'!H13</f>
        <v>5345140640.719999</v>
      </c>
      <c r="D26" s="189">
        <f>'Приложение 4'!G15+'Приложение 6'!I13</f>
        <v>3718094637.2099996</v>
      </c>
      <c r="E26" s="189">
        <f>'Приложение 4'!H15+'Приложение 6'!J13</f>
        <v>3739236684.26</v>
      </c>
    </row>
    <row r="27" spans="1:5" ht="16.5">
      <c r="A27" s="209" t="s">
        <v>571</v>
      </c>
      <c r="B27" s="185" t="s">
        <v>599</v>
      </c>
      <c r="C27" s="192">
        <f>C35</f>
        <v>0</v>
      </c>
      <c r="D27" s="192">
        <f>D35</f>
        <v>0</v>
      </c>
      <c r="E27" s="192">
        <f>E35</f>
        <v>0</v>
      </c>
    </row>
    <row r="28" spans="1:5" ht="16.5" hidden="1">
      <c r="A28" s="209" t="s">
        <v>600</v>
      </c>
      <c r="B28" s="185" t="s">
        <v>601</v>
      </c>
      <c r="C28" s="192">
        <v>0</v>
      </c>
      <c r="D28" s="192">
        <v>0</v>
      </c>
      <c r="E28" s="192">
        <v>0</v>
      </c>
    </row>
    <row r="29" spans="1:5" ht="16.5" hidden="1">
      <c r="A29" s="210" t="s">
        <v>602</v>
      </c>
      <c r="B29" s="188" t="s">
        <v>603</v>
      </c>
      <c r="C29" s="189"/>
      <c r="D29" s="193"/>
      <c r="E29" s="193"/>
    </row>
    <row r="30" spans="1:5" ht="16.5" hidden="1">
      <c r="A30" s="210" t="s">
        <v>604</v>
      </c>
      <c r="B30" s="188" t="s">
        <v>605</v>
      </c>
      <c r="C30" s="189"/>
      <c r="D30" s="193"/>
      <c r="E30" s="193"/>
    </row>
    <row r="31" spans="1:5" ht="16.5" hidden="1">
      <c r="A31" s="209" t="s">
        <v>606</v>
      </c>
      <c r="B31" s="185" t="s">
        <v>607</v>
      </c>
      <c r="C31" s="192">
        <v>0</v>
      </c>
      <c r="D31" s="192">
        <v>0</v>
      </c>
      <c r="E31" s="192">
        <v>0</v>
      </c>
    </row>
    <row r="32" spans="1:5" ht="16.5" hidden="1">
      <c r="A32" s="210" t="s">
        <v>608</v>
      </c>
      <c r="B32" s="188" t="s">
        <v>609</v>
      </c>
      <c r="C32" s="189"/>
      <c r="D32" s="193"/>
      <c r="E32" s="193"/>
    </row>
    <row r="33" spans="1:5" ht="16.5" hidden="1">
      <c r="A33" s="210" t="s">
        <v>610</v>
      </c>
      <c r="B33" s="188" t="s">
        <v>611</v>
      </c>
      <c r="C33" s="189"/>
      <c r="D33" s="193"/>
      <c r="E33" s="193"/>
    </row>
    <row r="34" spans="1:5" ht="16.5" hidden="1">
      <c r="A34" s="209" t="s">
        <v>612</v>
      </c>
      <c r="B34" s="185" t="s">
        <v>613</v>
      </c>
      <c r="C34" s="192">
        <v>0</v>
      </c>
      <c r="D34" s="192">
        <v>0</v>
      </c>
      <c r="E34" s="192">
        <v>0</v>
      </c>
    </row>
    <row r="35" spans="1:5" ht="33.75" hidden="1">
      <c r="A35" s="209" t="s">
        <v>614</v>
      </c>
      <c r="B35" s="185" t="s">
        <v>615</v>
      </c>
      <c r="C35" s="192">
        <f>SUM(C37:C37)</f>
        <v>0</v>
      </c>
      <c r="D35" s="192">
        <f>SUM(D37:D37)</f>
        <v>0</v>
      </c>
      <c r="E35" s="192">
        <f>SUM(E37:E37)</f>
        <v>0</v>
      </c>
    </row>
    <row r="36" spans="1:5" ht="16.5" hidden="1">
      <c r="A36" s="210" t="s">
        <v>616</v>
      </c>
      <c r="B36" s="188" t="s">
        <v>617</v>
      </c>
      <c r="C36" s="192"/>
      <c r="D36" s="192"/>
      <c r="E36" s="192"/>
    </row>
    <row r="37" spans="1:5" ht="16.5" hidden="1">
      <c r="A37" s="210" t="s">
        <v>618</v>
      </c>
      <c r="B37" s="188" t="s">
        <v>619</v>
      </c>
      <c r="C37" s="212">
        <v>0</v>
      </c>
      <c r="D37" s="212"/>
      <c r="E37" s="190">
        <v>0</v>
      </c>
    </row>
    <row r="38" spans="1:5" ht="16.5" hidden="1">
      <c r="A38" s="209" t="s">
        <v>620</v>
      </c>
      <c r="B38" s="185" t="s">
        <v>576</v>
      </c>
      <c r="C38" s="192">
        <f>C39</f>
        <v>0</v>
      </c>
      <c r="D38" s="192">
        <f>D39</f>
        <v>0</v>
      </c>
      <c r="E38" s="192">
        <f>E39</f>
        <v>0</v>
      </c>
    </row>
    <row r="39" spans="1:5" ht="16.5" hidden="1">
      <c r="A39" s="210" t="s">
        <v>621</v>
      </c>
      <c r="B39" s="188" t="s">
        <v>577</v>
      </c>
      <c r="C39" s="189"/>
      <c r="D39" s="193"/>
      <c r="E39" s="193"/>
    </row>
    <row r="41" spans="3:5" ht="15">
      <c r="C41" s="213"/>
      <c r="D41" s="213"/>
      <c r="E41" s="213"/>
    </row>
    <row r="43" spans="3:5" ht="15">
      <c r="C43" s="303"/>
      <c r="D43" s="303"/>
      <c r="E43" s="303"/>
    </row>
    <row r="44" ht="15">
      <c r="B44" s="202"/>
    </row>
  </sheetData>
  <sheetProtection/>
  <mergeCells count="1"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214" customWidth="1"/>
    <col min="2" max="2" width="57.7109375" style="214" customWidth="1"/>
    <col min="3" max="3" width="20.00390625" style="214" customWidth="1"/>
    <col min="4" max="4" width="17.28125" style="214" customWidth="1"/>
    <col min="5" max="6" width="17.140625" style="214" customWidth="1"/>
    <col min="7" max="7" width="9.140625" style="214" customWidth="1"/>
    <col min="8" max="8" width="16.7109375" style="349" customWidth="1"/>
    <col min="9" max="9" width="16.8515625" style="349" customWidth="1"/>
    <col min="10" max="10" width="15.421875" style="349" customWidth="1"/>
    <col min="11" max="16384" width="9.140625" style="214" customWidth="1"/>
  </cols>
  <sheetData>
    <row r="2" ht="15.75">
      <c r="E2" s="230" t="s">
        <v>659</v>
      </c>
    </row>
    <row r="3" ht="15.75">
      <c r="E3" s="230" t="s">
        <v>303</v>
      </c>
    </row>
    <row r="4" ht="15.75">
      <c r="E4" s="230" t="s">
        <v>18</v>
      </c>
    </row>
    <row r="5" ht="15.75">
      <c r="E5" s="230" t="s">
        <v>19</v>
      </c>
    </row>
    <row r="6" ht="15.75">
      <c r="E6" s="230" t="s">
        <v>20</v>
      </c>
    </row>
    <row r="7" ht="15.75">
      <c r="E7" s="230" t="s">
        <v>781</v>
      </c>
    </row>
    <row r="8" ht="15.75">
      <c r="E8" s="230" t="s">
        <v>782</v>
      </c>
    </row>
    <row r="11" spans="1:6" ht="15.75" customHeight="1">
      <c r="A11" s="372" t="s">
        <v>623</v>
      </c>
      <c r="B11" s="372"/>
      <c r="C11" s="372"/>
      <c r="D11" s="372"/>
      <c r="E11" s="372"/>
      <c r="F11" s="372"/>
    </row>
    <row r="12" ht="15.75">
      <c r="F12" s="215" t="s">
        <v>186</v>
      </c>
    </row>
    <row r="13" spans="1:6" ht="33.75">
      <c r="A13" s="145" t="s">
        <v>624</v>
      </c>
      <c r="B13" s="222" t="s">
        <v>625</v>
      </c>
      <c r="C13" s="222" t="s">
        <v>626</v>
      </c>
      <c r="D13" s="222" t="s">
        <v>23</v>
      </c>
      <c r="E13" s="222" t="s">
        <v>24</v>
      </c>
      <c r="F13" s="216" t="s">
        <v>174</v>
      </c>
    </row>
    <row r="14" spans="1:10" s="231" customFormat="1" ht="16.5">
      <c r="A14" s="144"/>
      <c r="B14" s="223" t="s">
        <v>165</v>
      </c>
      <c r="C14" s="224">
        <f>SUM(D14:F14)</f>
        <v>370121711.58</v>
      </c>
      <c r="D14" s="224">
        <f>SUM(D15:D32)</f>
        <v>338921711.58</v>
      </c>
      <c r="E14" s="224">
        <f>SUM(E15:E31)</f>
        <v>15600000</v>
      </c>
      <c r="F14" s="224">
        <f>SUM(F15:F31)</f>
        <v>15600000</v>
      </c>
      <c r="H14" s="350"/>
      <c r="I14" s="350"/>
      <c r="J14" s="350"/>
    </row>
    <row r="15" spans="1:6" ht="51">
      <c r="A15" s="73">
        <v>1</v>
      </c>
      <c r="B15" s="225" t="s">
        <v>627</v>
      </c>
      <c r="C15" s="109">
        <f aca="true" t="shared" si="0" ref="C15:C22">D15+E15+F15</f>
        <v>67902277.06</v>
      </c>
      <c r="D15" s="109">
        <f>127902277.06-60000000+60000000-60000000</f>
        <v>67902277.06</v>
      </c>
      <c r="E15" s="109">
        <v>0</v>
      </c>
      <c r="F15" s="217">
        <v>0</v>
      </c>
    </row>
    <row r="16" spans="1:6" ht="51" hidden="1">
      <c r="A16" s="73">
        <v>3</v>
      </c>
      <c r="B16" s="146" t="s">
        <v>628</v>
      </c>
      <c r="C16" s="109">
        <f t="shared" si="0"/>
        <v>0</v>
      </c>
      <c r="D16" s="109"/>
      <c r="E16" s="109"/>
      <c r="F16" s="217"/>
    </row>
    <row r="17" spans="1:6" ht="51">
      <c r="A17" s="73">
        <v>2</v>
      </c>
      <c r="B17" s="146" t="s">
        <v>629</v>
      </c>
      <c r="C17" s="109">
        <f t="shared" si="0"/>
        <v>170080852.59</v>
      </c>
      <c r="D17" s="109">
        <f>218357573.58-30105767.39-13072917.63-5098035.97</f>
        <v>170080852.59</v>
      </c>
      <c r="E17" s="109">
        <v>0</v>
      </c>
      <c r="F17" s="217">
        <v>0</v>
      </c>
    </row>
    <row r="18" spans="1:6" ht="16.5">
      <c r="A18" s="73">
        <v>3</v>
      </c>
      <c r="B18" s="146" t="s">
        <v>630</v>
      </c>
      <c r="C18" s="109">
        <f t="shared" si="0"/>
        <v>26776540</v>
      </c>
      <c r="D18" s="109">
        <f>22638740+4137800</f>
        <v>26776540</v>
      </c>
      <c r="E18" s="109">
        <v>0</v>
      </c>
      <c r="F18" s="217">
        <v>0</v>
      </c>
    </row>
    <row r="19" spans="1:6" ht="33.75">
      <c r="A19" s="73">
        <v>4</v>
      </c>
      <c r="B19" s="348" t="s">
        <v>773</v>
      </c>
      <c r="C19" s="109">
        <f t="shared" si="0"/>
        <v>2665600</v>
      </c>
      <c r="D19" s="109">
        <v>2665600</v>
      </c>
      <c r="E19" s="109">
        <v>0</v>
      </c>
      <c r="F19" s="217">
        <v>0</v>
      </c>
    </row>
    <row r="20" spans="1:6" ht="16.5">
      <c r="A20" s="73">
        <v>5</v>
      </c>
      <c r="B20" s="146" t="s">
        <v>631</v>
      </c>
      <c r="C20" s="109">
        <f t="shared" si="0"/>
        <v>46600000</v>
      </c>
      <c r="D20" s="109">
        <v>15400000</v>
      </c>
      <c r="E20" s="109">
        <v>15600000</v>
      </c>
      <c r="F20" s="217">
        <v>15600000</v>
      </c>
    </row>
    <row r="21" spans="1:6" ht="33.75">
      <c r="A21" s="73">
        <v>6</v>
      </c>
      <c r="B21" s="146" t="s">
        <v>761</v>
      </c>
      <c r="C21" s="109">
        <f t="shared" si="0"/>
        <v>6424719.4</v>
      </c>
      <c r="D21" s="109">
        <f>5985000-5985000+5985000+439719.4</f>
        <v>6424719.4</v>
      </c>
      <c r="E21" s="109">
        <v>0</v>
      </c>
      <c r="F21" s="217">
        <v>0</v>
      </c>
    </row>
    <row r="22" spans="1:6" ht="51">
      <c r="A22" s="73">
        <v>7</v>
      </c>
      <c r="B22" s="146" t="s">
        <v>636</v>
      </c>
      <c r="C22" s="109">
        <f t="shared" si="0"/>
        <v>24344016</v>
      </c>
      <c r="D22" s="109">
        <v>24344016</v>
      </c>
      <c r="E22" s="109">
        <v>0</v>
      </c>
      <c r="F22" s="217">
        <v>0</v>
      </c>
    </row>
    <row r="23" spans="1:6" ht="67.5">
      <c r="A23" s="232">
        <v>8</v>
      </c>
      <c r="B23" s="218" t="s">
        <v>743</v>
      </c>
      <c r="C23" s="217">
        <f aca="true" t="shared" si="1" ref="C23:C32">SUM(D23:F23)</f>
        <v>164798.4</v>
      </c>
      <c r="D23" s="217">
        <v>164798.4</v>
      </c>
      <c r="E23" s="217">
        <v>0</v>
      </c>
      <c r="F23" s="217">
        <v>0</v>
      </c>
    </row>
    <row r="24" spans="1:6" ht="51" hidden="1">
      <c r="A24" s="235" t="s">
        <v>748</v>
      </c>
      <c r="B24" s="218" t="s">
        <v>632</v>
      </c>
      <c r="C24" s="217">
        <f t="shared" si="1"/>
        <v>0</v>
      </c>
      <c r="D24" s="217">
        <f>549000-520730.12-28269.88</f>
        <v>0</v>
      </c>
      <c r="E24" s="217">
        <v>0</v>
      </c>
      <c r="F24" s="217">
        <v>0</v>
      </c>
    </row>
    <row r="25" spans="1:6" ht="33.75" hidden="1">
      <c r="A25" s="235">
        <v>10</v>
      </c>
      <c r="B25" s="218" t="s">
        <v>633</v>
      </c>
      <c r="C25" s="217">
        <f t="shared" si="1"/>
        <v>0</v>
      </c>
      <c r="D25" s="217"/>
      <c r="E25" s="217"/>
      <c r="F25" s="217">
        <v>0</v>
      </c>
    </row>
    <row r="26" spans="1:6" ht="33.75" hidden="1">
      <c r="A26" s="235">
        <v>11</v>
      </c>
      <c r="B26" s="218" t="s">
        <v>634</v>
      </c>
      <c r="C26" s="217">
        <f t="shared" si="1"/>
        <v>0</v>
      </c>
      <c r="D26" s="109"/>
      <c r="E26" s="217">
        <v>0</v>
      </c>
      <c r="F26" s="217">
        <v>0</v>
      </c>
    </row>
    <row r="27" spans="1:6" ht="84.75">
      <c r="A27" s="235" t="s">
        <v>345</v>
      </c>
      <c r="B27" s="218" t="s">
        <v>749</v>
      </c>
      <c r="C27" s="217">
        <f t="shared" si="1"/>
        <v>1024212.72</v>
      </c>
      <c r="D27" s="109">
        <v>1024212.72</v>
      </c>
      <c r="E27" s="217"/>
      <c r="F27" s="217"/>
    </row>
    <row r="28" spans="1:6" ht="16.5">
      <c r="A28" s="235" t="s">
        <v>330</v>
      </c>
      <c r="B28" s="48" t="s">
        <v>635</v>
      </c>
      <c r="C28" s="217">
        <f t="shared" si="1"/>
        <v>9810436.8</v>
      </c>
      <c r="D28" s="109">
        <v>9810436.8</v>
      </c>
      <c r="E28" s="217">
        <v>0</v>
      </c>
      <c r="F28" s="217">
        <v>0</v>
      </c>
    </row>
    <row r="29" spans="1:6" ht="51">
      <c r="A29" s="235" t="s">
        <v>405</v>
      </c>
      <c r="B29" s="233" t="s">
        <v>654</v>
      </c>
      <c r="C29" s="217">
        <f t="shared" si="1"/>
        <v>7400849.609999999</v>
      </c>
      <c r="D29" s="217">
        <f>4561714.79+2839134.82</f>
        <v>7400849.609999999</v>
      </c>
      <c r="E29" s="217">
        <v>0</v>
      </c>
      <c r="F29" s="217">
        <v>0</v>
      </c>
    </row>
    <row r="30" spans="1:6" ht="84.75">
      <c r="A30" s="235" t="s">
        <v>336</v>
      </c>
      <c r="B30" s="234" t="s">
        <v>655</v>
      </c>
      <c r="C30" s="217">
        <f t="shared" si="1"/>
        <v>2500000</v>
      </c>
      <c r="D30" s="217">
        <v>2500000</v>
      </c>
      <c r="E30" s="217">
        <v>0</v>
      </c>
      <c r="F30" s="217">
        <v>0</v>
      </c>
    </row>
    <row r="31" spans="1:6" ht="15.75">
      <c r="A31" s="235" t="s">
        <v>385</v>
      </c>
      <c r="B31" s="217" t="s">
        <v>658</v>
      </c>
      <c r="C31" s="217">
        <f t="shared" si="1"/>
        <v>627409</v>
      </c>
      <c r="D31" s="217">
        <f>672181.2-44772.2</f>
        <v>627409</v>
      </c>
      <c r="E31" s="217">
        <v>0</v>
      </c>
      <c r="F31" s="217">
        <v>0</v>
      </c>
    </row>
    <row r="32" spans="1:9" ht="67.5">
      <c r="A32" s="232">
        <v>15</v>
      </c>
      <c r="B32" s="233" t="s">
        <v>775</v>
      </c>
      <c r="C32" s="217">
        <f t="shared" si="1"/>
        <v>3800000</v>
      </c>
      <c r="D32" s="217">
        <f>19333.34+3780666.66</f>
        <v>3800000</v>
      </c>
      <c r="E32" s="217">
        <v>0</v>
      </c>
      <c r="F32" s="217">
        <v>0</v>
      </c>
      <c r="H32" s="27"/>
      <c r="I32" s="27"/>
    </row>
  </sheetData>
  <sheetProtection/>
  <mergeCells count="1">
    <mergeCell ref="A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ТолмачеваС</dc:creator>
  <cp:keywords/>
  <dc:description/>
  <cp:lastModifiedBy>Microsoft Office User</cp:lastModifiedBy>
  <cp:lastPrinted>2022-12-14T07:50:10Z</cp:lastPrinted>
  <dcterms:created xsi:type="dcterms:W3CDTF">2020-12-18T04:06:31Z</dcterms:created>
  <dcterms:modified xsi:type="dcterms:W3CDTF">2022-12-20T01:08:39Z</dcterms:modified>
  <cp:category/>
  <cp:version/>
  <cp:contentType/>
  <cp:contentStatus/>
</cp:coreProperties>
</file>